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 уточ в 2013 году" sheetId="2" r:id="rId1"/>
    <sheet name="1" sheetId="1" r:id="rId2"/>
  </sheets>
  <definedNames>
    <definedName name="_xlnm.Print_Titles" localSheetId="1">'1'!$1:$6</definedName>
    <definedName name="_xlnm.Print_Titles" localSheetId="0">'2 уточ в 2013 году'!$1:$6</definedName>
  </definedNames>
  <calcPr calcId="125725"/>
</workbook>
</file>

<file path=xl/calcChain.xml><?xml version="1.0" encoding="utf-8"?>
<calcChain xmlns="http://schemas.openxmlformats.org/spreadsheetml/2006/main">
  <c r="B29" i="2"/>
  <c r="J43"/>
  <c r="K43"/>
  <c r="O43"/>
  <c r="H43"/>
  <c r="I42"/>
  <c r="N41"/>
  <c r="N43" s="1"/>
  <c r="I41"/>
  <c r="I40"/>
  <c r="F40"/>
  <c r="E40"/>
  <c r="O29"/>
  <c r="N29"/>
  <c r="K29"/>
  <c r="J29"/>
  <c r="H29"/>
  <c r="I28"/>
  <c r="I26"/>
  <c r="I25"/>
  <c r="I24"/>
  <c r="F24"/>
  <c r="F29" s="1"/>
  <c r="E24"/>
  <c r="E29" s="1"/>
  <c r="O55"/>
  <c r="N55"/>
  <c r="K55"/>
  <c r="J55"/>
  <c r="H55"/>
  <c r="E55"/>
  <c r="I54"/>
  <c r="I55" s="1"/>
  <c r="F54"/>
  <c r="F55" s="1"/>
  <c r="N39"/>
  <c r="I39"/>
  <c r="F39"/>
  <c r="F43" s="1"/>
  <c r="E39"/>
  <c r="E43" s="1"/>
  <c r="O37"/>
  <c r="K37"/>
  <c r="J37"/>
  <c r="H37"/>
  <c r="I36"/>
  <c r="I35"/>
  <c r="N34"/>
  <c r="N33"/>
  <c r="I33"/>
  <c r="I32"/>
  <c r="I31"/>
  <c r="F31"/>
  <c r="F37" s="1"/>
  <c r="E31"/>
  <c r="E37" s="1"/>
  <c r="K52"/>
  <c r="J52"/>
  <c r="H52"/>
  <c r="N50"/>
  <c r="N52" s="1"/>
  <c r="I50"/>
  <c r="I49"/>
  <c r="I48"/>
  <c r="I47"/>
  <c r="I46"/>
  <c r="I45"/>
  <c r="F45"/>
  <c r="F52" s="1"/>
  <c r="E45"/>
  <c r="E52" s="1"/>
  <c r="K23"/>
  <c r="J23"/>
  <c r="H23"/>
  <c r="F23"/>
  <c r="O22"/>
  <c r="I22"/>
  <c r="O21"/>
  <c r="N21"/>
  <c r="N23" s="1"/>
  <c r="I21"/>
  <c r="I20"/>
  <c r="I19"/>
  <c r="I18"/>
  <c r="E18"/>
  <c r="E23" s="1"/>
  <c r="O16"/>
  <c r="N16"/>
  <c r="K16"/>
  <c r="H16"/>
  <c r="F16"/>
  <c r="I15"/>
  <c r="O13"/>
  <c r="N13"/>
  <c r="I13"/>
  <c r="I12"/>
  <c r="I11"/>
  <c r="J10"/>
  <c r="J16" s="1"/>
  <c r="E10"/>
  <c r="E16" s="1"/>
  <c r="O9"/>
  <c r="N9"/>
  <c r="K9"/>
  <c r="H9"/>
  <c r="J8"/>
  <c r="I8" s="1"/>
  <c r="I9" s="1"/>
  <c r="F8"/>
  <c r="F9" s="1"/>
  <c r="E8"/>
  <c r="E9" s="1"/>
  <c r="B6"/>
  <c r="C6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O22" i="1"/>
  <c r="I22"/>
  <c r="O21"/>
  <c r="N21"/>
  <c r="I21"/>
  <c r="I20"/>
  <c r="I19"/>
  <c r="I18"/>
  <c r="E18"/>
  <c r="I15"/>
  <c r="O13"/>
  <c r="N13"/>
  <c r="I13"/>
  <c r="I12"/>
  <c r="I11"/>
  <c r="J10"/>
  <c r="I10"/>
  <c r="E10"/>
  <c r="I43" i="2" l="1"/>
  <c r="J9"/>
  <c r="I37"/>
  <c r="N37"/>
  <c r="O23"/>
  <c r="I29"/>
  <c r="I23"/>
  <c r="I52"/>
  <c r="I10"/>
  <c r="I16" s="1"/>
  <c r="H55" i="1"/>
  <c r="E57"/>
  <c r="J51"/>
  <c r="K51"/>
  <c r="H51"/>
  <c r="O44"/>
  <c r="J44"/>
  <c r="K44"/>
  <c r="H44"/>
  <c r="K36"/>
  <c r="J36"/>
  <c r="H36"/>
  <c r="O27"/>
  <c r="J27"/>
  <c r="K27"/>
  <c r="H27"/>
  <c r="O23"/>
  <c r="J23"/>
  <c r="K23"/>
  <c r="H23"/>
  <c r="K16"/>
  <c r="H16"/>
  <c r="F29"/>
  <c r="N34"/>
  <c r="N36" s="1"/>
  <c r="I34"/>
  <c r="F38"/>
  <c r="M58"/>
  <c r="Q58"/>
  <c r="R58"/>
  <c r="F57"/>
  <c r="F56"/>
  <c r="F53"/>
  <c r="F46"/>
  <c r="F25"/>
  <c r="F8"/>
  <c r="O16"/>
  <c r="N16"/>
  <c r="E53"/>
  <c r="E55" s="1"/>
  <c r="O55"/>
  <c r="J55"/>
  <c r="K55"/>
  <c r="E25"/>
  <c r="I54"/>
  <c r="N53"/>
  <c r="N55" s="1"/>
  <c r="N41"/>
  <c r="N40"/>
  <c r="N44" s="1"/>
  <c r="N26"/>
  <c r="N27" s="1"/>
  <c r="N23"/>
  <c r="I48"/>
  <c r="I56"/>
  <c r="I53"/>
  <c r="I55" s="1"/>
  <c r="I47"/>
  <c r="I50"/>
  <c r="I46"/>
  <c r="I51" s="1"/>
  <c r="I40"/>
  <c r="I39"/>
  <c r="I42"/>
  <c r="I43"/>
  <c r="I38"/>
  <c r="I44" s="1"/>
  <c r="I30"/>
  <c r="I31"/>
  <c r="I32"/>
  <c r="I33"/>
  <c r="I29"/>
  <c r="I36" s="1"/>
  <c r="I26"/>
  <c r="I25"/>
  <c r="I27" s="1"/>
  <c r="I23"/>
  <c r="J16"/>
  <c r="J8"/>
  <c r="O57"/>
  <c r="N57"/>
  <c r="J57"/>
  <c r="K57"/>
  <c r="H57"/>
  <c r="F55"/>
  <c r="I57"/>
  <c r="O51"/>
  <c r="N51"/>
  <c r="F51"/>
  <c r="E46"/>
  <c r="E51" s="1"/>
  <c r="F44"/>
  <c r="E38"/>
  <c r="E44" s="1"/>
  <c r="B36"/>
  <c r="B44" s="1"/>
  <c r="B51" s="1"/>
  <c r="B55" s="1"/>
  <c r="B57" s="1"/>
  <c r="F36"/>
  <c r="E29"/>
  <c r="E36" s="1"/>
  <c r="F27"/>
  <c r="E27"/>
  <c r="F23"/>
  <c r="E23"/>
  <c r="F16"/>
  <c r="E16"/>
  <c r="J9"/>
  <c r="K9"/>
  <c r="N9"/>
  <c r="O9"/>
  <c r="I8"/>
  <c r="I9" s="1"/>
  <c r="H9"/>
  <c r="F9"/>
  <c r="E8"/>
  <c r="E9" s="1"/>
  <c r="E58" s="1"/>
  <c r="C6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B6"/>
  <c r="F58" l="1"/>
  <c r="H58"/>
  <c r="I16"/>
  <c r="O58"/>
  <c r="N58"/>
  <c r="K58"/>
  <c r="J58"/>
  <c r="I58" l="1"/>
</calcChain>
</file>

<file path=xl/sharedStrings.xml><?xml version="1.0" encoding="utf-8"?>
<sst xmlns="http://schemas.openxmlformats.org/spreadsheetml/2006/main" count="546" uniqueCount="155">
  <si>
    <t>Чайковский муниципальный район</t>
  </si>
  <si>
    <t>№ п/п</t>
  </si>
  <si>
    <t>Наименование газопровода</t>
  </si>
  <si>
    <t>Диаметр, мм</t>
  </si>
  <si>
    <t>Протяженность, км</t>
  </si>
  <si>
    <t>Объем потребления, тыс.м3 в год</t>
  </si>
  <si>
    <t>Наименование населенного пункта</t>
  </si>
  <si>
    <t>Домовладения (квартиры)</t>
  </si>
  <si>
    <t>Всего в данном населенном пункте домовладений и квартир (шт)</t>
  </si>
  <si>
    <t>В том числе, планируются к газификации и войдут в План график синхронизации (шт)</t>
  </si>
  <si>
    <t>Всего</t>
  </si>
  <si>
    <t>В том числе, индивидуальные владения</t>
  </si>
  <si>
    <t>В том числе квартиры</t>
  </si>
  <si>
    <t>Планируемый срок подготовки домовладений (квартир) к приему газа</t>
  </si>
  <si>
    <t>Данные для план-графика по коммунально-бытовым котельным, сельским и промышленным предприятиям</t>
  </si>
  <si>
    <t>Наименование и адрес котельной</t>
  </si>
  <si>
    <t>Планируемое годовое потребление газа, тыс.м3/год</t>
  </si>
  <si>
    <t>Мощность, МВт</t>
  </si>
  <si>
    <t>Планируемый срок завершения строительства (перевода)</t>
  </si>
  <si>
    <t>Перечень промышленных и с/х предприятий (их профиль)</t>
  </si>
  <si>
    <t>Перечень объектов социальной сферы</t>
  </si>
  <si>
    <t>Давление, МПа</t>
  </si>
  <si>
    <t>д. Каменный Ключ</t>
  </si>
  <si>
    <t>отсутствует</t>
  </si>
  <si>
    <t>отсутствуют</t>
  </si>
  <si>
    <t>Итого по объекту</t>
  </si>
  <si>
    <t>Газопровод межпоселковый "ГРС К.Ключ - д. К.Ключ"</t>
  </si>
  <si>
    <t>250/50</t>
  </si>
  <si>
    <t>д. Карша</t>
  </si>
  <si>
    <t>0</t>
  </si>
  <si>
    <t>д. Маракуши</t>
  </si>
  <si>
    <t>библиотека</t>
  </si>
  <si>
    <t>д. Дедушкино</t>
  </si>
  <si>
    <t>с. Сосново</t>
  </si>
  <si>
    <t>ФАП, школа, д/сад, клуб, библиотека</t>
  </si>
  <si>
    <t>д. Ольховочка</t>
  </si>
  <si>
    <t>200/150/80</t>
  </si>
  <si>
    <t>д. Русалевка</t>
  </si>
  <si>
    <t>Краевая психиатрическая больница</t>
  </si>
  <si>
    <t>д. Опары</t>
  </si>
  <si>
    <t>ФАП</t>
  </si>
  <si>
    <t>д. Ваньки</t>
  </si>
  <si>
    <t>1</t>
  </si>
  <si>
    <t>ФАП, д/сад, клуб, СОШ, библиотека</t>
  </si>
  <si>
    <t>д. Некрасово</t>
  </si>
  <si>
    <t>Центральная котельная, д. Зипуново, ул. Молодежная, 7</t>
  </si>
  <si>
    <t>ФАП, школа, д/сад, почта, библиотека</t>
  </si>
  <si>
    <t>с. Сарапулка</t>
  </si>
  <si>
    <t>Газопровод межпоселковый "ГРС д. К.Ключ - д. Некрасово - с. Зипуново - с. Сарапулка"</t>
  </si>
  <si>
    <t>с. Зипуново</t>
  </si>
  <si>
    <t>Газопровод межпоселковый "ГРС д. К.Ключ - д. Оралки - д. Жигалки - д. З-д Михайловский - д. Б.Гора - д. Злодарь - с. Уральское"</t>
  </si>
  <si>
    <t>100/200/150</t>
  </si>
  <si>
    <t>д. Оралки</t>
  </si>
  <si>
    <t>д. Жигалки</t>
  </si>
  <si>
    <t>ФАП, библиотека</t>
  </si>
  <si>
    <t>д. Б.Гора</t>
  </si>
  <si>
    <t>д. Злодарь</t>
  </si>
  <si>
    <t>с. Уральское</t>
  </si>
  <si>
    <t>Центральная котельная, с. Уральское, ул. Школьная</t>
  </si>
  <si>
    <t>д/сад, СОШ, библиотека, дом культуры, почта</t>
  </si>
  <si>
    <t>библиотека, клуб</t>
  </si>
  <si>
    <t>д. Завод Михайловский</t>
  </si>
  <si>
    <t>Строительство ГРС д. Кириловка и газопровод межпоселковый "ГРС д. Кирилловка - д. Кирилловка - д. Н. Гарь - с. Альняш - д. Романята - д. Бормист"</t>
  </si>
  <si>
    <t>200/150/50</t>
  </si>
  <si>
    <t>д. Кирилловка</t>
  </si>
  <si>
    <t>ФАП, клуб</t>
  </si>
  <si>
    <t>д. Н. Гарь</t>
  </si>
  <si>
    <t>с. Альняш</t>
  </si>
  <si>
    <t>ФАП, школа, д/сад, клуб</t>
  </si>
  <si>
    <t>д. Романята</t>
  </si>
  <si>
    <t>ФАП, д/сад, клуб</t>
  </si>
  <si>
    <t>д. Бормист</t>
  </si>
  <si>
    <t>ФАП, библиотека, почта</t>
  </si>
  <si>
    <t>д. Моховая</t>
  </si>
  <si>
    <t>Газопровод межпоселковый "д. Ваньки - п. Засечный - д. Моховая - д. Вассята - д. Аммонеево"</t>
  </si>
  <si>
    <t>п. Засечный</t>
  </si>
  <si>
    <t>клуб</t>
  </si>
  <si>
    <t>д. Вассята</t>
  </si>
  <si>
    <t>д. Аммонеево</t>
  </si>
  <si>
    <t>д. Буренка</t>
  </si>
  <si>
    <t>Поселковая котельная, д. Буренка, ул. Гаражная</t>
  </si>
  <si>
    <t>Газопровод межпоселковый "с. Фоки - д. Лукинцы"</t>
  </si>
  <si>
    <t>д. Лукинцы</t>
  </si>
  <si>
    <t>1,26</t>
  </si>
  <si>
    <t>Школьная котельная, с. Альняш, ул. Ленина, 62</t>
  </si>
  <si>
    <t>Центральная котельная, с. Альняш, ул. Ленина, 106</t>
  </si>
  <si>
    <t xml:space="preserve">ВСЕГО </t>
  </si>
  <si>
    <t>Котельная БК "Энергия", с.Степаново, территория БК "Энергия"</t>
  </si>
  <si>
    <t>1,5</t>
  </si>
  <si>
    <t>Новые объекты газификации с началом строительства в 2013 году</t>
  </si>
  <si>
    <t>Примечание</t>
  </si>
  <si>
    <t>ПСД в 2012 году за счет средств ЧМР</t>
  </si>
  <si>
    <t>окт. 2013</t>
  </si>
  <si>
    <t>ПСД 2013 год - за счет средств Газпром</t>
  </si>
  <si>
    <t>окт. 2014</t>
  </si>
  <si>
    <t>СА (колхоз) "Память Куйбышева" (мясо-молочное производство, растеневодство (зерно-сушилки), овощехранилище (картофель))</t>
  </si>
  <si>
    <t>ООО "Золотой теленок" (мясо-молочное производство, свиньи, растеневодство (зерно-сушилки))</t>
  </si>
  <si>
    <t>Колхоз "Ленинский путь" (мясо-молочное производство, растеневодстов (зерно-сушилки))</t>
  </si>
  <si>
    <t>СПК "Альняш" (мясо-молочное производство, растеневодство (зерно-сушилки), овощехранилище (картофель)-при наличии газа)</t>
  </si>
  <si>
    <t>ООО "Смена" (растеневодство (зерно-сушилки))</t>
  </si>
  <si>
    <t>Новые объекты газификации с началом строительства в 2014 году</t>
  </si>
  <si>
    <t>ПСД 2012 год - за счет средств Газпром</t>
  </si>
  <si>
    <t>сент. 2015</t>
  </si>
  <si>
    <t>нет</t>
  </si>
  <si>
    <t>СПК (колхоз) "Восход" (мясо-молочное производство, растеневодство (зерно-сушилки))</t>
  </si>
  <si>
    <t>0,6</t>
  </si>
  <si>
    <t>3</t>
  </si>
  <si>
    <t>Новые объекты газификации с началом строительства в 2015 году</t>
  </si>
  <si>
    <t>80/300</t>
  </si>
  <si>
    <t>Газопровод межпоселковый "д. Зипуново - д. Буренка" ; Газопровод межпоселковый "д. Зипуново - д. Сарапулка"</t>
  </si>
  <si>
    <t>ПСД 2014 год - за счет средств Газпром</t>
  </si>
  <si>
    <t>ПСД 2015 год - за счет средств Газпром</t>
  </si>
  <si>
    <t>Новые объекты газификации с началом строительства в 2016 году</t>
  </si>
  <si>
    <t>ПСД 2016 год - за счет средств Газпром</t>
  </si>
  <si>
    <t>Новые объекты газификации с началом строительства в 2017 году</t>
  </si>
  <si>
    <t>Новые объекты газификации с началом строительства в 2018 году</t>
  </si>
  <si>
    <t>ПСД 2017 год - за счет средств Газпром</t>
  </si>
  <si>
    <t>Новые объекты газификации с началом строительства в 2019 году</t>
  </si>
  <si>
    <t>ПСД 2018 год - за счет средств Газпром</t>
  </si>
  <si>
    <t>окт. 2015</t>
  </si>
  <si>
    <t>окт. 2016</t>
  </si>
  <si>
    <t>нояб. 2016</t>
  </si>
  <si>
    <t>сент. 2017</t>
  </si>
  <si>
    <t>сент. 2016</t>
  </si>
  <si>
    <t>окт. 2018</t>
  </si>
  <si>
    <t>сент. 2018</t>
  </si>
  <si>
    <t>сент. 2019</t>
  </si>
  <si>
    <t>сент. 2020</t>
  </si>
  <si>
    <t>Перечень газораспределительных систем, предлагаемых для финансирования ОАО "Газпром" и ОАО "ЛУКОЙЛ" в состав Программ газификации регионов Российской Федерации на 2012-2020 годы</t>
  </si>
  <si>
    <t>ООО "ИТЦ "Яргазарматура" (изготовление оборудования)</t>
  </si>
  <si>
    <t>ЗАО "Уральская нефтяная компания" (нефтяная отрасль)</t>
  </si>
  <si>
    <t>Столовая ИП Мясников</t>
  </si>
  <si>
    <t>с. Степаново</t>
  </si>
  <si>
    <t>Газопровод межпоселковый "д. Чумна - д. Карша - д. Маракуши - д. Дедушкино - с. Сосново д . Ольховочка"</t>
  </si>
  <si>
    <t>По факту отсутствует, при стр-ве газопровода будет котельная ООО "Золотой теленок"</t>
  </si>
  <si>
    <t xml:space="preserve">По факту отсутствует, при стр-ве газопровода будет котельная СПК (колхоз) "Восход" </t>
  </si>
  <si>
    <t>Центральная котельная, с. Сосново, ул. Школьная, 36а; при стр-ве газопровода будут котельные ООО "ИТЦ" и ИП Мясникова</t>
  </si>
  <si>
    <t>Газопровод межпоселковый "с. Фоки - д. Русалевка - БК "Энергия"  - д. Опары - д. Ваньки - с. Степаново"</t>
  </si>
  <si>
    <t>БК "Энерги"</t>
  </si>
  <si>
    <t>Центральная котельная, д. Ваньки, ул. Молодежная; при стр-ве газопровода будут котельные СА (колхоз) "Память Куйбышева"</t>
  </si>
  <si>
    <t>По факту отсутствует, при стр-ве газопровода будет котельная СА (колхоз) "Память Куйбышева"</t>
  </si>
  <si>
    <t>1 очередь. Новые объекты газификации с началом строительства в 2014 год - (ПИР) и стр-во 2015 год</t>
  </si>
  <si>
    <t>2014-2015</t>
  </si>
  <si>
    <t>2013-2014</t>
  </si>
  <si>
    <t>2 очередь. Новые объекты газификации с началом строительства в 2014-2015 году</t>
  </si>
  <si>
    <t>5 очередь. Новые объекты газификации с началом строительства в 2018-2020 году</t>
  </si>
  <si>
    <t>2018-2020</t>
  </si>
  <si>
    <t>3 очередь Новые объекты газификации с началом строительства в 2015 году</t>
  </si>
  <si>
    <t>2015</t>
  </si>
  <si>
    <t>4 очередь. Новые объекты газификации с началом строительства в 2016-2017 годы</t>
  </si>
  <si>
    <t>2016-2017</t>
  </si>
  <si>
    <t xml:space="preserve">Газопровод межпоселковый "д. Зипуново - д. Буренка" </t>
  </si>
  <si>
    <t>Перечень газораспределительных систем, предлагаемых для финансирования ОАО "Газпром" и ОАО "ЛУКОЙЛ" в состав Программ газификации регионов Российской Федерации на 2013-2020 годы</t>
  </si>
  <si>
    <t>6 очередь. Новые объекты газификации с началом строительства в 2020 году</t>
  </si>
  <si>
    <t>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</si>
</sst>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46" zoomScaleNormal="46" workbookViewId="0">
      <pane xSplit="2" ySplit="7" topLeftCell="C43" activePane="bottomRight" state="frozen"/>
      <selection pane="topRight" activeCell="C1" sqref="C1"/>
      <selection pane="bottomLeft" activeCell="A8" sqref="A8"/>
      <selection pane="bottomRight" activeCell="P21" sqref="P21"/>
    </sheetView>
  </sheetViews>
  <sheetFormatPr defaultRowHeight="15"/>
  <cols>
    <col min="1" max="1" width="4.42578125" customWidth="1"/>
    <col min="2" max="2" width="19.42578125" customWidth="1"/>
    <col min="3" max="3" width="10.5703125" customWidth="1"/>
    <col min="4" max="4" width="11.7109375" customWidth="1"/>
    <col min="5" max="5" width="14.7109375" customWidth="1"/>
    <col min="6" max="6" width="11.5703125" customWidth="1"/>
    <col min="7" max="7" width="12.7109375" customWidth="1"/>
    <col min="8" max="8" width="10.85546875" customWidth="1"/>
    <col min="12" max="12" width="13" customWidth="1"/>
    <col min="13" max="13" width="14.140625" customWidth="1"/>
    <col min="14" max="14" width="11.85546875" customWidth="1"/>
    <col min="15" max="15" width="10.42578125" customWidth="1"/>
    <col min="16" max="16" width="12.85546875" customWidth="1"/>
    <col min="17" max="17" width="15.85546875" customWidth="1"/>
    <col min="18" max="18" width="12.28515625" customWidth="1"/>
  </cols>
  <sheetData>
    <row r="1" spans="1:18" ht="34.5" customHeight="1">
      <c r="A1" s="37" t="s">
        <v>152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5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8.75" customHeight="1">
      <c r="A3" s="32" t="s">
        <v>1</v>
      </c>
      <c r="B3" s="32" t="s">
        <v>2</v>
      </c>
      <c r="C3" s="32" t="s">
        <v>21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/>
      <c r="J3" s="32"/>
      <c r="K3" s="32"/>
      <c r="L3" s="32"/>
      <c r="M3" s="32"/>
      <c r="N3" s="32"/>
      <c r="O3" s="32"/>
      <c r="P3" s="32"/>
      <c r="Q3" s="32" t="s">
        <v>19</v>
      </c>
      <c r="R3" s="32" t="s">
        <v>20</v>
      </c>
    </row>
    <row r="4" spans="1:18" ht="41.25" customHeight="1">
      <c r="A4" s="32"/>
      <c r="B4" s="32"/>
      <c r="C4" s="32"/>
      <c r="D4" s="32"/>
      <c r="E4" s="32"/>
      <c r="F4" s="32"/>
      <c r="G4" s="32"/>
      <c r="H4" s="32" t="s">
        <v>8</v>
      </c>
      <c r="I4" s="32" t="s">
        <v>9</v>
      </c>
      <c r="J4" s="32"/>
      <c r="K4" s="32"/>
      <c r="L4" s="32" t="s">
        <v>13</v>
      </c>
      <c r="M4" s="32" t="s">
        <v>14</v>
      </c>
      <c r="N4" s="32"/>
      <c r="O4" s="32"/>
      <c r="P4" s="32"/>
      <c r="Q4" s="32"/>
      <c r="R4" s="32"/>
    </row>
    <row r="5" spans="1:18" ht="73.5" customHeight="1">
      <c r="A5" s="32"/>
      <c r="B5" s="32"/>
      <c r="C5" s="32"/>
      <c r="D5" s="32"/>
      <c r="E5" s="32"/>
      <c r="F5" s="32"/>
      <c r="G5" s="32"/>
      <c r="H5" s="32"/>
      <c r="I5" s="30" t="s">
        <v>10</v>
      </c>
      <c r="J5" s="30" t="s">
        <v>11</v>
      </c>
      <c r="K5" s="30" t="s">
        <v>12</v>
      </c>
      <c r="L5" s="32"/>
      <c r="M5" s="30" t="s">
        <v>15</v>
      </c>
      <c r="N5" s="30" t="s">
        <v>16</v>
      </c>
      <c r="O5" s="30" t="s">
        <v>17</v>
      </c>
      <c r="P5" s="30" t="s">
        <v>18</v>
      </c>
      <c r="Q5" s="32"/>
      <c r="R5" s="32"/>
    </row>
    <row r="6" spans="1:18">
      <c r="A6" s="30">
        <v>1</v>
      </c>
      <c r="B6" s="30">
        <f>A6+1</f>
        <v>2</v>
      </c>
      <c r="C6" s="30">
        <f t="shared" ref="C6:R6" si="0">B6+1</f>
        <v>3</v>
      </c>
      <c r="D6" s="30">
        <f t="shared" si="0"/>
        <v>4</v>
      </c>
      <c r="E6" s="30">
        <f t="shared" si="0"/>
        <v>5</v>
      </c>
      <c r="F6" s="30">
        <f t="shared" si="0"/>
        <v>6</v>
      </c>
      <c r="G6" s="30">
        <f t="shared" si="0"/>
        <v>7</v>
      </c>
      <c r="H6" s="30">
        <f t="shared" si="0"/>
        <v>8</v>
      </c>
      <c r="I6" s="30">
        <f t="shared" si="0"/>
        <v>9</v>
      </c>
      <c r="J6" s="30">
        <f t="shared" si="0"/>
        <v>10</v>
      </c>
      <c r="K6" s="30">
        <f t="shared" si="0"/>
        <v>11</v>
      </c>
      <c r="L6" s="30">
        <f t="shared" si="0"/>
        <v>12</v>
      </c>
      <c r="M6" s="30">
        <f t="shared" si="0"/>
        <v>13</v>
      </c>
      <c r="N6" s="30">
        <f t="shared" si="0"/>
        <v>14</v>
      </c>
      <c r="O6" s="30">
        <f t="shared" si="0"/>
        <v>15</v>
      </c>
      <c r="P6" s="30">
        <f t="shared" si="0"/>
        <v>16</v>
      </c>
      <c r="Q6" s="30">
        <f t="shared" si="0"/>
        <v>17</v>
      </c>
      <c r="R6" s="30">
        <f t="shared" si="0"/>
        <v>18</v>
      </c>
    </row>
    <row r="7" spans="1:18" ht="20.100000000000001" customHeight="1">
      <c r="A7" s="61" t="s">
        <v>141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84.75" customHeight="1">
      <c r="A8" s="30">
        <v>1</v>
      </c>
      <c r="B8" s="62" t="s">
        <v>26</v>
      </c>
      <c r="C8" s="30">
        <v>0.6</v>
      </c>
      <c r="D8" s="30">
        <v>200</v>
      </c>
      <c r="E8" s="5">
        <f>0.2+0.5</f>
        <v>0.7</v>
      </c>
      <c r="F8" s="5">
        <f>(0.037+0.714)*1000</f>
        <v>751</v>
      </c>
      <c r="G8" s="30" t="s">
        <v>22</v>
      </c>
      <c r="H8" s="6">
        <v>97</v>
      </c>
      <c r="I8" s="6">
        <f>J8+K8</f>
        <v>67.899999999999991</v>
      </c>
      <c r="J8" s="6">
        <f>97/100*70</f>
        <v>67.899999999999991</v>
      </c>
      <c r="K8" s="6">
        <v>0</v>
      </c>
      <c r="L8" s="8" t="s">
        <v>142</v>
      </c>
      <c r="M8" s="30" t="s">
        <v>23</v>
      </c>
      <c r="N8" s="5">
        <v>0</v>
      </c>
      <c r="O8" s="5">
        <v>0</v>
      </c>
      <c r="P8" s="8" t="s">
        <v>103</v>
      </c>
      <c r="Q8" s="30" t="s">
        <v>24</v>
      </c>
      <c r="R8" s="30" t="s">
        <v>23</v>
      </c>
    </row>
    <row r="9" spans="1:18" s="14" customFormat="1" ht="34.5" customHeight="1">
      <c r="A9" s="9"/>
      <c r="B9" s="10" t="s">
        <v>25</v>
      </c>
      <c r="C9" s="9"/>
      <c r="D9" s="9"/>
      <c r="E9" s="11">
        <f>E8</f>
        <v>0.7</v>
      </c>
      <c r="F9" s="11">
        <f t="shared" ref="F9:O9" si="1">F8</f>
        <v>751</v>
      </c>
      <c r="G9" s="11"/>
      <c r="H9" s="12">
        <f t="shared" si="1"/>
        <v>97</v>
      </c>
      <c r="I9" s="12">
        <f t="shared" si="1"/>
        <v>67.899999999999991</v>
      </c>
      <c r="J9" s="12">
        <f t="shared" si="1"/>
        <v>67.899999999999991</v>
      </c>
      <c r="K9" s="12">
        <f t="shared" si="1"/>
        <v>0</v>
      </c>
      <c r="L9" s="11"/>
      <c r="M9" s="15">
        <v>0</v>
      </c>
      <c r="N9" s="11">
        <f t="shared" si="1"/>
        <v>0</v>
      </c>
      <c r="O9" s="11">
        <f t="shared" si="1"/>
        <v>0</v>
      </c>
      <c r="P9" s="13"/>
      <c r="Q9" s="15">
        <v>0</v>
      </c>
      <c r="R9" s="15">
        <v>0</v>
      </c>
    </row>
    <row r="10" spans="1:18" ht="89.25" customHeight="1">
      <c r="A10" s="32">
        <v>2</v>
      </c>
      <c r="B10" s="63" t="s">
        <v>133</v>
      </c>
      <c r="C10" s="32">
        <v>0.6</v>
      </c>
      <c r="D10" s="32" t="s">
        <v>27</v>
      </c>
      <c r="E10" s="33">
        <f>3+5.6+4.1+5+1.5</f>
        <v>19.2</v>
      </c>
      <c r="F10" s="36">
        <v>9021.16</v>
      </c>
      <c r="G10" s="30" t="s">
        <v>28</v>
      </c>
      <c r="H10" s="7">
        <v>53</v>
      </c>
      <c r="I10" s="7">
        <f t="shared" ref="I10:I15" si="2">J10+K10</f>
        <v>47.7</v>
      </c>
      <c r="J10" s="7">
        <f>53/100*90</f>
        <v>47.7</v>
      </c>
      <c r="K10" s="7">
        <v>0</v>
      </c>
      <c r="L10" s="8" t="s">
        <v>143</v>
      </c>
      <c r="M10" s="30" t="s">
        <v>23</v>
      </c>
      <c r="N10" s="5">
        <v>0</v>
      </c>
      <c r="O10" s="5" t="s">
        <v>29</v>
      </c>
      <c r="P10" s="8" t="s">
        <v>103</v>
      </c>
      <c r="Q10" s="30" t="s">
        <v>24</v>
      </c>
      <c r="R10" s="30" t="s">
        <v>23</v>
      </c>
    </row>
    <row r="11" spans="1:18" ht="96" customHeight="1">
      <c r="A11" s="32"/>
      <c r="B11" s="32"/>
      <c r="C11" s="32"/>
      <c r="D11" s="32"/>
      <c r="E11" s="33"/>
      <c r="F11" s="36"/>
      <c r="G11" s="30" t="s">
        <v>30</v>
      </c>
      <c r="H11" s="7">
        <v>119</v>
      </c>
      <c r="I11" s="7">
        <f t="shared" si="2"/>
        <v>72</v>
      </c>
      <c r="J11" s="7">
        <v>72</v>
      </c>
      <c r="K11" s="7">
        <v>0</v>
      </c>
      <c r="L11" s="8" t="s">
        <v>143</v>
      </c>
      <c r="M11" s="30" t="s">
        <v>134</v>
      </c>
      <c r="N11" s="5">
        <v>300</v>
      </c>
      <c r="O11" s="5">
        <v>1.26</v>
      </c>
      <c r="P11" s="8" t="s">
        <v>103</v>
      </c>
      <c r="Q11" s="30" t="s">
        <v>96</v>
      </c>
      <c r="R11" s="30" t="s">
        <v>31</v>
      </c>
    </row>
    <row r="12" spans="1:18" ht="93.75" customHeight="1">
      <c r="A12" s="32"/>
      <c r="B12" s="32"/>
      <c r="C12" s="32"/>
      <c r="D12" s="32"/>
      <c r="E12" s="33"/>
      <c r="F12" s="36"/>
      <c r="G12" s="30" t="s">
        <v>32</v>
      </c>
      <c r="H12" s="7">
        <v>109</v>
      </c>
      <c r="I12" s="7">
        <f t="shared" si="2"/>
        <v>66</v>
      </c>
      <c r="J12" s="7">
        <v>66</v>
      </c>
      <c r="K12" s="7">
        <v>0</v>
      </c>
      <c r="L12" s="8" t="s">
        <v>143</v>
      </c>
      <c r="M12" s="30" t="s">
        <v>135</v>
      </c>
      <c r="N12" s="5">
        <v>300</v>
      </c>
      <c r="O12" s="5">
        <v>1.26</v>
      </c>
      <c r="P12" s="8" t="s">
        <v>103</v>
      </c>
      <c r="Q12" s="30" t="s">
        <v>104</v>
      </c>
      <c r="R12" s="30" t="s">
        <v>60</v>
      </c>
    </row>
    <row r="13" spans="1:18" ht="51">
      <c r="A13" s="32"/>
      <c r="B13" s="32"/>
      <c r="C13" s="32"/>
      <c r="D13" s="32"/>
      <c r="E13" s="33"/>
      <c r="F13" s="36"/>
      <c r="G13" s="32" t="s">
        <v>33</v>
      </c>
      <c r="H13" s="34">
        <v>336</v>
      </c>
      <c r="I13" s="34">
        <f t="shared" si="2"/>
        <v>247</v>
      </c>
      <c r="J13" s="34">
        <v>215</v>
      </c>
      <c r="K13" s="34">
        <v>32</v>
      </c>
      <c r="L13" s="31" t="s">
        <v>143</v>
      </c>
      <c r="M13" s="32" t="s">
        <v>136</v>
      </c>
      <c r="N13" s="33">
        <f>189+300+100</f>
        <v>589</v>
      </c>
      <c r="O13" s="36">
        <f>0.63*5</f>
        <v>3.15</v>
      </c>
      <c r="P13" s="31" t="s">
        <v>102</v>
      </c>
      <c r="Q13" s="30" t="s">
        <v>129</v>
      </c>
      <c r="R13" s="32" t="s">
        <v>34</v>
      </c>
    </row>
    <row r="14" spans="1:18" ht="83.25" customHeight="1">
      <c r="A14" s="32"/>
      <c r="B14" s="32"/>
      <c r="C14" s="32"/>
      <c r="D14" s="32"/>
      <c r="E14" s="33"/>
      <c r="F14" s="36"/>
      <c r="G14" s="32"/>
      <c r="H14" s="34"/>
      <c r="I14" s="34"/>
      <c r="J14" s="34"/>
      <c r="K14" s="34"/>
      <c r="L14" s="31"/>
      <c r="M14" s="32"/>
      <c r="N14" s="33"/>
      <c r="O14" s="36"/>
      <c r="P14" s="31"/>
      <c r="Q14" s="30" t="s">
        <v>131</v>
      </c>
      <c r="R14" s="32"/>
    </row>
    <row r="15" spans="1:18" ht="27" customHeight="1">
      <c r="A15" s="32"/>
      <c r="B15" s="32"/>
      <c r="C15" s="32"/>
      <c r="D15" s="32"/>
      <c r="E15" s="33"/>
      <c r="F15" s="36"/>
      <c r="G15" s="30" t="s">
        <v>35</v>
      </c>
      <c r="H15" s="7">
        <v>38</v>
      </c>
      <c r="I15" s="7">
        <f t="shared" si="2"/>
        <v>38</v>
      </c>
      <c r="J15" s="7">
        <v>38</v>
      </c>
      <c r="K15" s="7">
        <v>0</v>
      </c>
      <c r="L15" s="8" t="s">
        <v>143</v>
      </c>
      <c r="M15" s="30" t="s">
        <v>23</v>
      </c>
      <c r="N15" s="5">
        <v>0</v>
      </c>
      <c r="O15" s="5" t="s">
        <v>29</v>
      </c>
      <c r="P15" s="8" t="s">
        <v>29</v>
      </c>
      <c r="Q15" s="30" t="s">
        <v>24</v>
      </c>
      <c r="R15" s="30" t="s">
        <v>23</v>
      </c>
    </row>
    <row r="16" spans="1:18" s="14" customFormat="1" ht="80.25" customHeight="1">
      <c r="A16" s="9"/>
      <c r="B16" s="10" t="s">
        <v>25</v>
      </c>
      <c r="C16" s="9"/>
      <c r="D16" s="9"/>
      <c r="E16" s="11">
        <f>E10</f>
        <v>19.2</v>
      </c>
      <c r="F16" s="11">
        <f>F10</f>
        <v>9021.16</v>
      </c>
      <c r="G16" s="11"/>
      <c r="H16" s="12">
        <f>SUM(H10:H15)</f>
        <v>655</v>
      </c>
      <c r="I16" s="12">
        <f t="shared" ref="I16:K16" si="3">SUM(I10:I15)</f>
        <v>470.7</v>
      </c>
      <c r="J16" s="12">
        <f t="shared" si="3"/>
        <v>438.7</v>
      </c>
      <c r="K16" s="12">
        <f t="shared" si="3"/>
        <v>32</v>
      </c>
      <c r="L16" s="11"/>
      <c r="M16" s="15">
        <v>1</v>
      </c>
      <c r="N16" s="11">
        <f>N10+N11+N12+N14+N15</f>
        <v>600</v>
      </c>
      <c r="O16" s="11">
        <f t="shared" ref="O16" si="4">O10+O11+O12+O14+O15</f>
        <v>2.52</v>
      </c>
      <c r="P16" s="11"/>
      <c r="Q16" s="15">
        <v>4</v>
      </c>
      <c r="R16" s="15">
        <v>8</v>
      </c>
    </row>
    <row r="17" spans="1:18" ht="20.100000000000001" customHeight="1">
      <c r="A17" s="61" t="s">
        <v>144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76.5" customHeight="1">
      <c r="A18" s="32">
        <v>3</v>
      </c>
      <c r="B18" s="63" t="s">
        <v>137</v>
      </c>
      <c r="C18" s="32">
        <v>0.6</v>
      </c>
      <c r="D18" s="32" t="s">
        <v>36</v>
      </c>
      <c r="E18" s="33">
        <f>1.4+4.8+3.5+5.8+4</f>
        <v>19.5</v>
      </c>
      <c r="F18" s="33">
        <v>7511.16</v>
      </c>
      <c r="G18" s="30" t="s">
        <v>37</v>
      </c>
      <c r="H18" s="7">
        <v>101</v>
      </c>
      <c r="I18" s="7">
        <f>J18+K18</f>
        <v>75</v>
      </c>
      <c r="J18" s="7">
        <v>75</v>
      </c>
      <c r="K18" s="7">
        <v>0</v>
      </c>
      <c r="L18" s="8" t="s">
        <v>142</v>
      </c>
      <c r="M18" s="30" t="s">
        <v>23</v>
      </c>
      <c r="N18" s="5">
        <v>0</v>
      </c>
      <c r="O18" s="8" t="s">
        <v>29</v>
      </c>
      <c r="P18" s="8" t="s">
        <v>103</v>
      </c>
      <c r="Q18" s="30" t="s">
        <v>24</v>
      </c>
      <c r="R18" s="30" t="s">
        <v>23</v>
      </c>
    </row>
    <row r="19" spans="1:18" ht="67.5" customHeight="1">
      <c r="A19" s="32"/>
      <c r="B19" s="63"/>
      <c r="C19" s="32"/>
      <c r="D19" s="32"/>
      <c r="E19" s="33"/>
      <c r="F19" s="33"/>
      <c r="G19" s="30" t="s">
        <v>138</v>
      </c>
      <c r="H19" s="7">
        <v>48</v>
      </c>
      <c r="I19" s="7">
        <f t="shared" ref="I19:I22" si="5">J19+K19</f>
        <v>0</v>
      </c>
      <c r="J19" s="16">
        <v>0</v>
      </c>
      <c r="K19" s="7">
        <v>0</v>
      </c>
      <c r="L19" s="8" t="s">
        <v>103</v>
      </c>
      <c r="M19" s="30" t="s">
        <v>87</v>
      </c>
      <c r="N19" s="5">
        <v>175</v>
      </c>
      <c r="O19" s="20" t="s">
        <v>88</v>
      </c>
      <c r="P19" s="8" t="s">
        <v>102</v>
      </c>
      <c r="Q19" s="30" t="s">
        <v>24</v>
      </c>
      <c r="R19" s="30" t="s">
        <v>38</v>
      </c>
    </row>
    <row r="20" spans="1:18">
      <c r="A20" s="32"/>
      <c r="B20" s="63"/>
      <c r="C20" s="32"/>
      <c r="D20" s="32"/>
      <c r="E20" s="33"/>
      <c r="F20" s="33"/>
      <c r="G20" s="30" t="s">
        <v>39</v>
      </c>
      <c r="H20" s="7">
        <v>29</v>
      </c>
      <c r="I20" s="7">
        <f t="shared" si="5"/>
        <v>0</v>
      </c>
      <c r="J20" s="7">
        <v>0</v>
      </c>
      <c r="K20" s="7">
        <v>0</v>
      </c>
      <c r="L20" s="8" t="s">
        <v>103</v>
      </c>
      <c r="M20" s="30" t="s">
        <v>23</v>
      </c>
      <c r="N20" s="5">
        <v>0</v>
      </c>
      <c r="O20" s="8" t="s">
        <v>29</v>
      </c>
      <c r="P20" s="8" t="s">
        <v>103</v>
      </c>
      <c r="Q20" s="30" t="s">
        <v>24</v>
      </c>
      <c r="R20" s="30" t="s">
        <v>40</v>
      </c>
    </row>
    <row r="21" spans="1:18" ht="122.25" customHeight="1">
      <c r="A21" s="32"/>
      <c r="B21" s="63"/>
      <c r="C21" s="32"/>
      <c r="D21" s="32"/>
      <c r="E21" s="33"/>
      <c r="F21" s="33"/>
      <c r="G21" s="30" t="s">
        <v>41</v>
      </c>
      <c r="H21" s="16">
        <v>422</v>
      </c>
      <c r="I21" s="7">
        <f t="shared" si="5"/>
        <v>236</v>
      </c>
      <c r="J21" s="7">
        <v>186</v>
      </c>
      <c r="K21" s="7">
        <v>50</v>
      </c>
      <c r="L21" s="8" t="s">
        <v>142</v>
      </c>
      <c r="M21" s="30" t="s">
        <v>139</v>
      </c>
      <c r="N21" s="5">
        <f>200+300</f>
        <v>500</v>
      </c>
      <c r="O21" s="28">
        <f>0.63*4</f>
        <v>2.52</v>
      </c>
      <c r="P21" s="8" t="s">
        <v>102</v>
      </c>
      <c r="Q21" s="30" t="s">
        <v>95</v>
      </c>
      <c r="R21" s="30" t="s">
        <v>43</v>
      </c>
    </row>
    <row r="22" spans="1:18" ht="120" customHeight="1">
      <c r="A22" s="32"/>
      <c r="B22" s="63"/>
      <c r="C22" s="32"/>
      <c r="D22" s="32"/>
      <c r="E22" s="33"/>
      <c r="F22" s="33"/>
      <c r="G22" s="26" t="s">
        <v>132</v>
      </c>
      <c r="H22" s="16">
        <v>35</v>
      </c>
      <c r="I22" s="16">
        <f t="shared" si="5"/>
        <v>15</v>
      </c>
      <c r="J22" s="16">
        <v>15</v>
      </c>
      <c r="K22" s="16">
        <v>0</v>
      </c>
      <c r="L22" s="19" t="s">
        <v>142</v>
      </c>
      <c r="M22" s="26" t="s">
        <v>140</v>
      </c>
      <c r="N22" s="17">
        <v>300</v>
      </c>
      <c r="O22" s="29">
        <f>0.63*2</f>
        <v>1.26</v>
      </c>
      <c r="P22" s="19" t="s">
        <v>103</v>
      </c>
      <c r="Q22" s="26" t="s">
        <v>95</v>
      </c>
      <c r="R22" s="26" t="s">
        <v>40</v>
      </c>
    </row>
    <row r="23" spans="1:18" s="14" customFormat="1">
      <c r="A23" s="9"/>
      <c r="B23" s="10" t="s">
        <v>25</v>
      </c>
      <c r="C23" s="9"/>
      <c r="D23" s="9"/>
      <c r="E23" s="11">
        <f>SUM(E18)</f>
        <v>19.5</v>
      </c>
      <c r="F23" s="11">
        <f>SUM(F18)</f>
        <v>7511.16</v>
      </c>
      <c r="G23" s="9"/>
      <c r="H23" s="12">
        <f>SUM(H18:H22)</f>
        <v>635</v>
      </c>
      <c r="I23" s="12">
        <f t="shared" ref="I23:K23" si="6">SUM(I18:I22)</f>
        <v>326</v>
      </c>
      <c r="J23" s="12">
        <f t="shared" si="6"/>
        <v>276</v>
      </c>
      <c r="K23" s="12">
        <f t="shared" si="6"/>
        <v>50</v>
      </c>
      <c r="L23" s="9"/>
      <c r="M23" s="9">
        <v>2</v>
      </c>
      <c r="N23" s="11">
        <f>SUM(N18:N22)</f>
        <v>975</v>
      </c>
      <c r="O23" s="11">
        <f>SUM(O18:O22)</f>
        <v>3.7800000000000002</v>
      </c>
      <c r="P23" s="11"/>
      <c r="Q23" s="9">
        <v>2</v>
      </c>
      <c r="R23" s="9">
        <v>8</v>
      </c>
    </row>
    <row r="24" spans="1:18" ht="118.5" customHeight="1">
      <c r="A24" s="32">
        <v>4</v>
      </c>
      <c r="B24" s="63" t="s">
        <v>74</v>
      </c>
      <c r="C24" s="32">
        <v>0.6</v>
      </c>
      <c r="D24" s="32" t="s">
        <v>63</v>
      </c>
      <c r="E24" s="33">
        <f>4.3+3.3+5+5.3</f>
        <v>17.899999999999999</v>
      </c>
      <c r="F24" s="33">
        <f>(0.068+0.6825+2.408+1+0.106+2.174+1.801+1+0.9)*1000</f>
        <v>10139.5</v>
      </c>
      <c r="G24" s="30" t="s">
        <v>75</v>
      </c>
      <c r="H24" s="7">
        <v>161</v>
      </c>
      <c r="I24" s="7">
        <f>J24+K24</f>
        <v>65</v>
      </c>
      <c r="J24" s="7">
        <v>65</v>
      </c>
      <c r="K24" s="7">
        <v>0</v>
      </c>
      <c r="L24" s="8" t="s">
        <v>142</v>
      </c>
      <c r="M24" s="30" t="s">
        <v>23</v>
      </c>
      <c r="N24" s="5">
        <v>0</v>
      </c>
      <c r="O24" s="8" t="s">
        <v>29</v>
      </c>
      <c r="P24" s="8" t="s">
        <v>103</v>
      </c>
      <c r="Q24" s="30" t="s">
        <v>95</v>
      </c>
      <c r="R24" s="30" t="s">
        <v>72</v>
      </c>
    </row>
    <row r="25" spans="1:18">
      <c r="A25" s="32"/>
      <c r="B25" s="63"/>
      <c r="C25" s="32"/>
      <c r="D25" s="32"/>
      <c r="E25" s="33"/>
      <c r="F25" s="33"/>
      <c r="G25" s="30" t="s">
        <v>73</v>
      </c>
      <c r="H25" s="7">
        <v>39</v>
      </c>
      <c r="I25" s="7">
        <f t="shared" ref="I25:I26" si="7">J25+K25</f>
        <v>0</v>
      </c>
      <c r="J25" s="7">
        <v>0</v>
      </c>
      <c r="K25" s="7">
        <v>0</v>
      </c>
      <c r="L25" s="8" t="s">
        <v>103</v>
      </c>
      <c r="M25" s="30" t="s">
        <v>23</v>
      </c>
      <c r="N25" s="5">
        <v>0</v>
      </c>
      <c r="O25" s="8" t="s">
        <v>29</v>
      </c>
      <c r="P25" s="8" t="s">
        <v>103</v>
      </c>
      <c r="Q25" s="30" t="s">
        <v>24</v>
      </c>
      <c r="R25" s="30" t="s">
        <v>76</v>
      </c>
    </row>
    <row r="26" spans="1:18" ht="93.75" customHeight="1">
      <c r="A26" s="32"/>
      <c r="B26" s="63"/>
      <c r="C26" s="32"/>
      <c r="D26" s="32"/>
      <c r="E26" s="33"/>
      <c r="F26" s="33"/>
      <c r="G26" s="32" t="s">
        <v>77</v>
      </c>
      <c r="H26" s="34">
        <v>267</v>
      </c>
      <c r="I26" s="34">
        <f t="shared" si="7"/>
        <v>207</v>
      </c>
      <c r="J26" s="34">
        <v>143</v>
      </c>
      <c r="K26" s="34">
        <v>64</v>
      </c>
      <c r="L26" s="31" t="s">
        <v>142</v>
      </c>
      <c r="M26" s="32" t="s">
        <v>23</v>
      </c>
      <c r="N26" s="33">
        <v>0</v>
      </c>
      <c r="O26" s="31" t="s">
        <v>29</v>
      </c>
      <c r="P26" s="31" t="s">
        <v>103</v>
      </c>
      <c r="Q26" s="30" t="s">
        <v>96</v>
      </c>
      <c r="R26" s="32" t="s">
        <v>34</v>
      </c>
    </row>
    <row r="27" spans="1:18" ht="43.5" customHeight="1">
      <c r="A27" s="32"/>
      <c r="B27" s="63"/>
      <c r="C27" s="32"/>
      <c r="D27" s="32"/>
      <c r="E27" s="33"/>
      <c r="F27" s="33"/>
      <c r="G27" s="32"/>
      <c r="H27" s="34"/>
      <c r="I27" s="34"/>
      <c r="J27" s="34"/>
      <c r="K27" s="34"/>
      <c r="L27" s="31"/>
      <c r="M27" s="32"/>
      <c r="N27" s="33"/>
      <c r="O27" s="31"/>
      <c r="P27" s="31"/>
      <c r="Q27" s="30" t="s">
        <v>99</v>
      </c>
      <c r="R27" s="32"/>
    </row>
    <row r="28" spans="1:18">
      <c r="A28" s="32"/>
      <c r="B28" s="63"/>
      <c r="C28" s="32"/>
      <c r="D28" s="32"/>
      <c r="E28" s="33"/>
      <c r="F28" s="33"/>
      <c r="G28" s="30" t="s">
        <v>78</v>
      </c>
      <c r="H28" s="7">
        <v>27</v>
      </c>
      <c r="I28" s="7">
        <f t="shared" ref="I28" si="8">J28+K28</f>
        <v>0</v>
      </c>
      <c r="J28" s="7">
        <v>0</v>
      </c>
      <c r="K28" s="7">
        <v>0</v>
      </c>
      <c r="L28" s="8" t="s">
        <v>103</v>
      </c>
      <c r="M28" s="30" t="s">
        <v>23</v>
      </c>
      <c r="N28" s="5">
        <v>0</v>
      </c>
      <c r="O28" s="8" t="s">
        <v>29</v>
      </c>
      <c r="P28" s="8" t="s">
        <v>103</v>
      </c>
      <c r="Q28" s="30" t="s">
        <v>24</v>
      </c>
      <c r="R28" s="30" t="s">
        <v>76</v>
      </c>
    </row>
    <row r="29" spans="1:18" s="14" customFormat="1">
      <c r="A29" s="9"/>
      <c r="B29" s="10" t="str">
        <f>B23</f>
        <v>Итого по объекту</v>
      </c>
      <c r="C29" s="9"/>
      <c r="D29" s="9"/>
      <c r="E29" s="11">
        <f>E24</f>
        <v>17.899999999999999</v>
      </c>
      <c r="F29" s="11">
        <f>F24</f>
        <v>10139.5</v>
      </c>
      <c r="G29" s="9"/>
      <c r="H29" s="12">
        <f>SUM(H24:H28)</f>
        <v>494</v>
      </c>
      <c r="I29" s="12">
        <f t="shared" ref="I29:K29" si="9">SUM(I24:I28)</f>
        <v>272</v>
      </c>
      <c r="J29" s="12">
        <f t="shared" si="9"/>
        <v>208</v>
      </c>
      <c r="K29" s="12">
        <f t="shared" si="9"/>
        <v>64</v>
      </c>
      <c r="L29" s="9"/>
      <c r="M29" s="9">
        <v>0</v>
      </c>
      <c r="N29" s="11">
        <f>N24+N25+N27+N28</f>
        <v>0</v>
      </c>
      <c r="O29" s="11">
        <f>O24+O25+O27+O28</f>
        <v>0</v>
      </c>
      <c r="P29" s="11"/>
      <c r="Q29" s="9">
        <v>3</v>
      </c>
      <c r="R29" s="9">
        <v>10</v>
      </c>
    </row>
    <row r="30" spans="1:18" ht="20.100000000000001" customHeight="1">
      <c r="A30" s="61" t="s">
        <v>147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ht="114.75" customHeight="1">
      <c r="A31" s="32">
        <v>5</v>
      </c>
      <c r="B31" s="63" t="s">
        <v>62</v>
      </c>
      <c r="C31" s="32">
        <v>0.6</v>
      </c>
      <c r="D31" s="32" t="s">
        <v>63</v>
      </c>
      <c r="E31" s="33">
        <f>1.2+4+3.5+5.5+6.7</f>
        <v>20.9</v>
      </c>
      <c r="F31" s="36">
        <f>(0.029+0.4515+2.408+0.119+1.827+2.408+2.408+0.029+0.409+2.408+0.015+0.259+2.408+0.014+0.234)*1000+450+90</f>
        <v>15966.499999999998</v>
      </c>
      <c r="G31" s="30" t="s">
        <v>64</v>
      </c>
      <c r="H31" s="7">
        <v>85</v>
      </c>
      <c r="I31" s="7">
        <f>J31+K31</f>
        <v>43</v>
      </c>
      <c r="J31" s="7">
        <v>43</v>
      </c>
      <c r="K31" s="7">
        <v>0</v>
      </c>
      <c r="L31" s="8" t="s">
        <v>148</v>
      </c>
      <c r="M31" s="30" t="s">
        <v>23</v>
      </c>
      <c r="N31" s="5">
        <v>0</v>
      </c>
      <c r="O31" s="8" t="s">
        <v>29</v>
      </c>
      <c r="P31" s="8" t="s">
        <v>103</v>
      </c>
      <c r="Q31" s="30" t="s">
        <v>98</v>
      </c>
      <c r="R31" s="30" t="s">
        <v>65</v>
      </c>
    </row>
    <row r="32" spans="1:18">
      <c r="A32" s="32"/>
      <c r="B32" s="63"/>
      <c r="C32" s="32"/>
      <c r="D32" s="32"/>
      <c r="E32" s="33"/>
      <c r="F32" s="36"/>
      <c r="G32" s="30" t="s">
        <v>66</v>
      </c>
      <c r="H32" s="7">
        <v>48</v>
      </c>
      <c r="I32" s="7">
        <f t="shared" ref="I32:I36" si="10">J32+K32</f>
        <v>30</v>
      </c>
      <c r="J32" s="7">
        <v>30</v>
      </c>
      <c r="K32" s="7">
        <v>0</v>
      </c>
      <c r="L32" s="8" t="s">
        <v>148</v>
      </c>
      <c r="M32" s="30" t="s">
        <v>23</v>
      </c>
      <c r="N32" s="5">
        <v>0</v>
      </c>
      <c r="O32" s="8" t="s">
        <v>29</v>
      </c>
      <c r="P32" s="8" t="s">
        <v>103</v>
      </c>
      <c r="Q32" s="30" t="s">
        <v>24</v>
      </c>
      <c r="R32" s="30" t="s">
        <v>23</v>
      </c>
    </row>
    <row r="33" spans="1:18" ht="109.5" customHeight="1">
      <c r="A33" s="32"/>
      <c r="B33" s="63"/>
      <c r="C33" s="32"/>
      <c r="D33" s="32"/>
      <c r="E33" s="33"/>
      <c r="F33" s="36"/>
      <c r="G33" s="32" t="s">
        <v>67</v>
      </c>
      <c r="H33" s="35">
        <v>323</v>
      </c>
      <c r="I33" s="34">
        <f t="shared" si="10"/>
        <v>174</v>
      </c>
      <c r="J33" s="34">
        <v>150</v>
      </c>
      <c r="K33" s="34">
        <v>24</v>
      </c>
      <c r="L33" s="31" t="s">
        <v>148</v>
      </c>
      <c r="M33" s="30" t="s">
        <v>85</v>
      </c>
      <c r="N33" s="5">
        <f>300*1.5</f>
        <v>450</v>
      </c>
      <c r="O33" s="8" t="s">
        <v>106</v>
      </c>
      <c r="P33" s="8" t="s">
        <v>125</v>
      </c>
      <c r="Q33" s="30" t="s">
        <v>98</v>
      </c>
      <c r="R33" s="32" t="s">
        <v>68</v>
      </c>
    </row>
    <row r="34" spans="1:18" ht="108" customHeight="1">
      <c r="A34" s="32"/>
      <c r="B34" s="63"/>
      <c r="C34" s="32"/>
      <c r="D34" s="32"/>
      <c r="E34" s="33"/>
      <c r="F34" s="36"/>
      <c r="G34" s="32"/>
      <c r="H34" s="35"/>
      <c r="I34" s="34"/>
      <c r="J34" s="34"/>
      <c r="K34" s="34"/>
      <c r="L34" s="31"/>
      <c r="M34" s="30" t="s">
        <v>84</v>
      </c>
      <c r="N34" s="5">
        <f>300*0.3</f>
        <v>90</v>
      </c>
      <c r="O34" s="8" t="s">
        <v>105</v>
      </c>
      <c r="P34" s="8" t="s">
        <v>125</v>
      </c>
      <c r="Q34" s="30" t="s">
        <v>98</v>
      </c>
      <c r="R34" s="32"/>
    </row>
    <row r="35" spans="1:18" ht="107.25" customHeight="1">
      <c r="A35" s="32"/>
      <c r="B35" s="63"/>
      <c r="C35" s="32"/>
      <c r="D35" s="32"/>
      <c r="E35" s="33"/>
      <c r="F35" s="36"/>
      <c r="G35" s="30" t="s">
        <v>69</v>
      </c>
      <c r="H35" s="7">
        <v>110</v>
      </c>
      <c r="I35" s="7">
        <f t="shared" si="10"/>
        <v>55</v>
      </c>
      <c r="J35" s="7">
        <v>55</v>
      </c>
      <c r="K35" s="7">
        <v>0</v>
      </c>
      <c r="L35" s="8" t="s">
        <v>148</v>
      </c>
      <c r="M35" s="30" t="s">
        <v>23</v>
      </c>
      <c r="N35" s="5">
        <v>0</v>
      </c>
      <c r="O35" s="8" t="s">
        <v>29</v>
      </c>
      <c r="P35" s="8" t="s">
        <v>103</v>
      </c>
      <c r="Q35" s="30" t="s">
        <v>98</v>
      </c>
      <c r="R35" s="30" t="s">
        <v>70</v>
      </c>
    </row>
    <row r="36" spans="1:18" ht="107.25" customHeight="1">
      <c r="A36" s="32"/>
      <c r="B36" s="63"/>
      <c r="C36" s="32"/>
      <c r="D36" s="32"/>
      <c r="E36" s="33"/>
      <c r="F36" s="36"/>
      <c r="G36" s="30" t="s">
        <v>71</v>
      </c>
      <c r="H36" s="7">
        <v>85</v>
      </c>
      <c r="I36" s="7">
        <f t="shared" si="10"/>
        <v>26</v>
      </c>
      <c r="J36" s="7">
        <v>26</v>
      </c>
      <c r="K36" s="7">
        <v>0</v>
      </c>
      <c r="L36" s="8" t="s">
        <v>148</v>
      </c>
      <c r="M36" s="30" t="s">
        <v>23</v>
      </c>
      <c r="N36" s="5">
        <v>0</v>
      </c>
      <c r="O36" s="8" t="s">
        <v>29</v>
      </c>
      <c r="P36" s="8" t="s">
        <v>103</v>
      </c>
      <c r="Q36" s="30" t="s">
        <v>98</v>
      </c>
      <c r="R36" s="30" t="s">
        <v>23</v>
      </c>
    </row>
    <row r="37" spans="1:18" s="14" customFormat="1">
      <c r="A37" s="9"/>
      <c r="B37" s="10" t="s">
        <v>25</v>
      </c>
      <c r="C37" s="9"/>
      <c r="D37" s="9"/>
      <c r="E37" s="11">
        <f>E31</f>
        <v>20.9</v>
      </c>
      <c r="F37" s="11">
        <f>F31</f>
        <v>15966.499999999998</v>
      </c>
      <c r="G37" s="9"/>
      <c r="H37" s="12">
        <f>SUM(H31:H36)</f>
        <v>651</v>
      </c>
      <c r="I37" s="12">
        <f t="shared" ref="I37:K37" si="11">SUM(I31:I36)</f>
        <v>328</v>
      </c>
      <c r="J37" s="12">
        <f t="shared" si="11"/>
        <v>304</v>
      </c>
      <c r="K37" s="12">
        <f t="shared" si="11"/>
        <v>24</v>
      </c>
      <c r="L37" s="9"/>
      <c r="M37" s="9">
        <v>2</v>
      </c>
      <c r="N37" s="11">
        <f>SUM(N31:N36)</f>
        <v>540</v>
      </c>
      <c r="O37" s="11">
        <f>O31+O32+O33+O34+O35+O36</f>
        <v>3.6</v>
      </c>
      <c r="P37" s="11"/>
      <c r="Q37" s="9">
        <v>5</v>
      </c>
      <c r="R37" s="9">
        <v>9</v>
      </c>
    </row>
    <row r="38" spans="1:18" ht="20.100000000000001" customHeight="1">
      <c r="A38" s="61" t="s">
        <v>149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18" ht="87.75" customHeight="1">
      <c r="A39" s="30">
        <v>6</v>
      </c>
      <c r="B39" s="62" t="s">
        <v>151</v>
      </c>
      <c r="C39" s="30">
        <v>0.6</v>
      </c>
      <c r="D39" s="30" t="s">
        <v>108</v>
      </c>
      <c r="E39" s="5">
        <f>6.2+3.1</f>
        <v>9.3000000000000007</v>
      </c>
      <c r="F39" s="5">
        <f>(0.0405+0.7455)*1000+189</f>
        <v>975</v>
      </c>
      <c r="G39" s="30" t="s">
        <v>79</v>
      </c>
      <c r="H39" s="7">
        <v>235</v>
      </c>
      <c r="I39" s="7">
        <f>J39+K39</f>
        <v>71</v>
      </c>
      <c r="J39" s="7">
        <v>71</v>
      </c>
      <c r="K39" s="7">
        <v>0</v>
      </c>
      <c r="L39" s="8" t="s">
        <v>150</v>
      </c>
      <c r="M39" s="30" t="s">
        <v>80</v>
      </c>
      <c r="N39" s="5">
        <f>300*0.63</f>
        <v>189</v>
      </c>
      <c r="O39" s="19" t="s">
        <v>83</v>
      </c>
      <c r="P39" s="8" t="s">
        <v>127</v>
      </c>
      <c r="Q39" s="30" t="s">
        <v>24</v>
      </c>
      <c r="R39" s="30" t="s">
        <v>46</v>
      </c>
    </row>
    <row r="40" spans="1:18" ht="76.5" customHeight="1">
      <c r="A40" s="32">
        <v>7</v>
      </c>
      <c r="B40" s="63" t="s">
        <v>48</v>
      </c>
      <c r="C40" s="32">
        <v>0.6</v>
      </c>
      <c r="D40" s="32">
        <v>300</v>
      </c>
      <c r="E40" s="33">
        <f>1.2+6.4+3.6</f>
        <v>11.200000000000001</v>
      </c>
      <c r="F40" s="33">
        <f>(0.0036+0.0525+0.04+0.693)*1000+378</f>
        <v>1167.0999999999999</v>
      </c>
      <c r="G40" s="30" t="s">
        <v>44</v>
      </c>
      <c r="H40" s="7">
        <v>9</v>
      </c>
      <c r="I40" s="7">
        <f>J40+K40</f>
        <v>5</v>
      </c>
      <c r="J40" s="7">
        <v>5</v>
      </c>
      <c r="K40" s="7">
        <v>0</v>
      </c>
      <c r="L40" s="8" t="s">
        <v>150</v>
      </c>
      <c r="M40" s="30" t="s">
        <v>23</v>
      </c>
      <c r="N40" s="5">
        <v>0</v>
      </c>
      <c r="O40" s="8" t="s">
        <v>29</v>
      </c>
      <c r="P40" s="8" t="s">
        <v>103</v>
      </c>
      <c r="Q40" s="30" t="s">
        <v>24</v>
      </c>
      <c r="R40" s="30" t="s">
        <v>23</v>
      </c>
    </row>
    <row r="41" spans="1:18" ht="76.5" customHeight="1">
      <c r="A41" s="32"/>
      <c r="B41" s="63"/>
      <c r="C41" s="32"/>
      <c r="D41" s="32"/>
      <c r="E41" s="33"/>
      <c r="F41" s="33"/>
      <c r="G41" s="30" t="s">
        <v>49</v>
      </c>
      <c r="H41" s="16">
        <v>190</v>
      </c>
      <c r="I41" s="7">
        <f>J41+K41</f>
        <v>66</v>
      </c>
      <c r="J41" s="7">
        <v>50</v>
      </c>
      <c r="K41" s="7">
        <v>16</v>
      </c>
      <c r="L41" s="8" t="s">
        <v>150</v>
      </c>
      <c r="M41" s="30" t="s">
        <v>45</v>
      </c>
      <c r="N41" s="5">
        <f>300*1.26</f>
        <v>378</v>
      </c>
      <c r="O41" s="19" t="s">
        <v>83</v>
      </c>
      <c r="P41" s="8" t="s">
        <v>123</v>
      </c>
      <c r="Q41" s="30" t="s">
        <v>24</v>
      </c>
      <c r="R41" s="30" t="s">
        <v>46</v>
      </c>
    </row>
    <row r="42" spans="1:18" ht="54" customHeight="1">
      <c r="A42" s="32"/>
      <c r="B42" s="63"/>
      <c r="C42" s="32"/>
      <c r="D42" s="32"/>
      <c r="E42" s="33"/>
      <c r="F42" s="33"/>
      <c r="G42" s="30" t="s">
        <v>47</v>
      </c>
      <c r="H42" s="7">
        <v>20</v>
      </c>
      <c r="I42" s="7">
        <f>J42+K42</f>
        <v>0</v>
      </c>
      <c r="J42" s="7">
        <v>0</v>
      </c>
      <c r="K42" s="7">
        <v>0</v>
      </c>
      <c r="L42" s="8" t="s">
        <v>150</v>
      </c>
      <c r="M42" s="30" t="s">
        <v>23</v>
      </c>
      <c r="N42" s="5">
        <v>0</v>
      </c>
      <c r="O42" s="8" t="s">
        <v>29</v>
      </c>
      <c r="P42" s="8" t="s">
        <v>103</v>
      </c>
      <c r="Q42" s="30" t="s">
        <v>24</v>
      </c>
      <c r="R42" s="30" t="s">
        <v>23</v>
      </c>
    </row>
    <row r="43" spans="1:18" s="14" customFormat="1">
      <c r="A43" s="9"/>
      <c r="B43" s="10" t="s">
        <v>25</v>
      </c>
      <c r="C43" s="9"/>
      <c r="D43" s="9"/>
      <c r="E43" s="11">
        <f>E39</f>
        <v>9.3000000000000007</v>
      </c>
      <c r="F43" s="11">
        <f>F39</f>
        <v>975</v>
      </c>
      <c r="G43" s="9"/>
      <c r="H43" s="12">
        <f>H40+H41+H42</f>
        <v>219</v>
      </c>
      <c r="I43" s="12">
        <f t="shared" ref="I43:O43" si="12">I40+I41+I42</f>
        <v>71</v>
      </c>
      <c r="J43" s="12">
        <f t="shared" si="12"/>
        <v>55</v>
      </c>
      <c r="K43" s="12">
        <f t="shared" si="12"/>
        <v>16</v>
      </c>
      <c r="L43" s="12"/>
      <c r="M43" s="12"/>
      <c r="N43" s="12">
        <f t="shared" si="12"/>
        <v>378</v>
      </c>
      <c r="O43" s="12">
        <f t="shared" si="12"/>
        <v>1.26</v>
      </c>
      <c r="P43" s="12"/>
      <c r="Q43" s="12"/>
      <c r="R43" s="12"/>
    </row>
    <row r="44" spans="1:18" ht="20.100000000000001" customHeight="1">
      <c r="A44" s="61" t="s">
        <v>145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ht="30.75" customHeight="1">
      <c r="A45" s="32">
        <v>8</v>
      </c>
      <c r="B45" s="63" t="s">
        <v>50</v>
      </c>
      <c r="C45" s="32">
        <v>0.6</v>
      </c>
      <c r="D45" s="32" t="s">
        <v>51</v>
      </c>
      <c r="E45" s="33">
        <f>1.2+6.5+6.7+5.5+3.9+5</f>
        <v>28.799999999999997</v>
      </c>
      <c r="F45" s="33">
        <f>(0.0011+0.222+0.036+0.972+0.031+0.92+0.004+0.0612+0.018+0.562+0.177+3.486+2.655+3)*1000+150</f>
        <v>12295.300000000001</v>
      </c>
      <c r="G45" s="30" t="s">
        <v>52</v>
      </c>
      <c r="H45" s="7">
        <v>17</v>
      </c>
      <c r="I45" s="7">
        <f>J45+K45</f>
        <v>14</v>
      </c>
      <c r="J45" s="7">
        <v>14</v>
      </c>
      <c r="K45" s="7">
        <v>0</v>
      </c>
      <c r="L45" s="8" t="s">
        <v>146</v>
      </c>
      <c r="M45" s="30" t="s">
        <v>23</v>
      </c>
      <c r="N45" s="5">
        <v>0</v>
      </c>
      <c r="O45" s="8" t="s">
        <v>29</v>
      </c>
      <c r="P45" s="8" t="s">
        <v>103</v>
      </c>
      <c r="Q45" s="30" t="s">
        <v>24</v>
      </c>
      <c r="R45" s="30" t="s">
        <v>23</v>
      </c>
    </row>
    <row r="46" spans="1:18" ht="25.5">
      <c r="A46" s="32"/>
      <c r="B46" s="63"/>
      <c r="C46" s="32"/>
      <c r="D46" s="32"/>
      <c r="E46" s="33"/>
      <c r="F46" s="33"/>
      <c r="G46" s="30" t="s">
        <v>53</v>
      </c>
      <c r="H46" s="7">
        <v>73</v>
      </c>
      <c r="I46" s="7">
        <f t="shared" ref="I46:I50" si="13">J46+K46</f>
        <v>44</v>
      </c>
      <c r="J46" s="7">
        <v>44</v>
      </c>
      <c r="K46" s="7">
        <v>0</v>
      </c>
      <c r="L46" s="8" t="s">
        <v>146</v>
      </c>
      <c r="M46" s="30" t="s">
        <v>23</v>
      </c>
      <c r="N46" s="5">
        <v>0</v>
      </c>
      <c r="O46" s="8" t="s">
        <v>29</v>
      </c>
      <c r="P46" s="8" t="s">
        <v>103</v>
      </c>
      <c r="Q46" s="30" t="s">
        <v>24</v>
      </c>
      <c r="R46" s="30" t="s">
        <v>54</v>
      </c>
    </row>
    <row r="47" spans="1:18" ht="38.25">
      <c r="A47" s="32"/>
      <c r="B47" s="63"/>
      <c r="C47" s="32"/>
      <c r="D47" s="32"/>
      <c r="E47" s="33"/>
      <c r="F47" s="33"/>
      <c r="G47" s="30" t="s">
        <v>61</v>
      </c>
      <c r="H47" s="7">
        <v>111</v>
      </c>
      <c r="I47" s="7">
        <f t="shared" si="13"/>
        <v>90</v>
      </c>
      <c r="J47" s="7">
        <v>90</v>
      </c>
      <c r="K47" s="7">
        <v>0</v>
      </c>
      <c r="L47" s="8" t="s">
        <v>146</v>
      </c>
      <c r="M47" s="30" t="s">
        <v>23</v>
      </c>
      <c r="N47" s="5">
        <v>0</v>
      </c>
      <c r="O47" s="8" t="s">
        <v>29</v>
      </c>
      <c r="P47" s="8" t="s">
        <v>103</v>
      </c>
      <c r="Q47" s="30" t="s">
        <v>24</v>
      </c>
      <c r="R47" s="30" t="s">
        <v>54</v>
      </c>
    </row>
    <row r="48" spans="1:18">
      <c r="A48" s="32"/>
      <c r="B48" s="63"/>
      <c r="C48" s="32"/>
      <c r="D48" s="32"/>
      <c r="E48" s="33"/>
      <c r="F48" s="33"/>
      <c r="G48" s="30" t="s">
        <v>55</v>
      </c>
      <c r="H48" s="7">
        <v>12</v>
      </c>
      <c r="I48" s="7">
        <f t="shared" si="13"/>
        <v>6</v>
      </c>
      <c r="J48" s="7">
        <v>6</v>
      </c>
      <c r="K48" s="7">
        <v>0</v>
      </c>
      <c r="L48" s="8" t="s">
        <v>146</v>
      </c>
      <c r="M48" s="30" t="s">
        <v>23</v>
      </c>
      <c r="N48" s="5">
        <v>0</v>
      </c>
      <c r="O48" s="8" t="s">
        <v>29</v>
      </c>
      <c r="P48" s="8" t="s">
        <v>103</v>
      </c>
      <c r="Q48" s="30" t="s">
        <v>24</v>
      </c>
      <c r="R48" s="30" t="s">
        <v>23</v>
      </c>
    </row>
    <row r="49" spans="1:18" ht="21.75" customHeight="1">
      <c r="A49" s="32"/>
      <c r="B49" s="63"/>
      <c r="C49" s="32"/>
      <c r="D49" s="32"/>
      <c r="E49" s="33"/>
      <c r="F49" s="33"/>
      <c r="G49" s="30" t="s">
        <v>56</v>
      </c>
      <c r="H49" s="7">
        <v>48</v>
      </c>
      <c r="I49" s="7">
        <f t="shared" si="13"/>
        <v>40</v>
      </c>
      <c r="J49" s="7">
        <v>40</v>
      </c>
      <c r="K49" s="7">
        <v>0</v>
      </c>
      <c r="L49" s="8" t="s">
        <v>146</v>
      </c>
      <c r="M49" s="30" t="s">
        <v>23</v>
      </c>
      <c r="N49" s="5">
        <v>0</v>
      </c>
      <c r="O49" s="8" t="s">
        <v>29</v>
      </c>
      <c r="P49" s="8" t="s">
        <v>103</v>
      </c>
      <c r="Q49" s="30" t="s">
        <v>24</v>
      </c>
      <c r="R49" s="30" t="s">
        <v>23</v>
      </c>
    </row>
    <row r="50" spans="1:18" ht="81.75" customHeight="1">
      <c r="A50" s="32"/>
      <c r="B50" s="63"/>
      <c r="C50" s="32"/>
      <c r="D50" s="32"/>
      <c r="E50" s="33"/>
      <c r="F50" s="33"/>
      <c r="G50" s="32" t="s">
        <v>57</v>
      </c>
      <c r="H50" s="35">
        <v>359</v>
      </c>
      <c r="I50" s="34">
        <f t="shared" si="13"/>
        <v>332</v>
      </c>
      <c r="J50" s="34">
        <v>252</v>
      </c>
      <c r="K50" s="34">
        <v>80</v>
      </c>
      <c r="L50" s="31" t="s">
        <v>146</v>
      </c>
      <c r="M50" s="32" t="s">
        <v>58</v>
      </c>
      <c r="N50" s="33">
        <f>300*0.5</f>
        <v>150</v>
      </c>
      <c r="O50" s="34" t="s">
        <v>42</v>
      </c>
      <c r="P50" s="31" t="s">
        <v>122</v>
      </c>
      <c r="Q50" s="30" t="s">
        <v>97</v>
      </c>
      <c r="R50" s="32" t="s">
        <v>59</v>
      </c>
    </row>
    <row r="51" spans="1:18" ht="81.75" customHeight="1">
      <c r="A51" s="32"/>
      <c r="B51" s="63"/>
      <c r="C51" s="32"/>
      <c r="D51" s="32"/>
      <c r="E51" s="33"/>
      <c r="F51" s="33"/>
      <c r="G51" s="32"/>
      <c r="H51" s="35"/>
      <c r="I51" s="34"/>
      <c r="J51" s="34"/>
      <c r="K51" s="34"/>
      <c r="L51" s="31"/>
      <c r="M51" s="32"/>
      <c r="N51" s="33"/>
      <c r="O51" s="34"/>
      <c r="P51" s="31"/>
      <c r="Q51" s="30" t="s">
        <v>130</v>
      </c>
      <c r="R51" s="32"/>
    </row>
    <row r="52" spans="1:18" s="14" customFormat="1">
      <c r="A52" s="9"/>
      <c r="B52" s="10" t="s">
        <v>25</v>
      </c>
      <c r="C52" s="9"/>
      <c r="D52" s="9"/>
      <c r="E52" s="11">
        <f>E45</f>
        <v>28.799999999999997</v>
      </c>
      <c r="F52" s="11">
        <f>F45</f>
        <v>12295.300000000001</v>
      </c>
      <c r="G52" s="9"/>
      <c r="H52" s="12">
        <f>SUM(H45:H51)</f>
        <v>620</v>
      </c>
      <c r="I52" s="12">
        <f t="shared" ref="I52:J52" si="14">SUM(I45:I51)</f>
        <v>526</v>
      </c>
      <c r="J52" s="12">
        <f t="shared" si="14"/>
        <v>446</v>
      </c>
      <c r="K52" s="12">
        <f>SUM(K45:K51)</f>
        <v>80</v>
      </c>
      <c r="L52" s="9"/>
      <c r="M52" s="9">
        <v>1</v>
      </c>
      <c r="N52" s="11">
        <f>SUM(N45:N51)</f>
        <v>150</v>
      </c>
      <c r="O52" s="11">
        <v>1</v>
      </c>
      <c r="P52" s="11"/>
      <c r="Q52" s="9">
        <v>2</v>
      </c>
      <c r="R52" s="9">
        <v>10</v>
      </c>
    </row>
    <row r="53" spans="1:18" ht="20.100000000000001" customHeight="1">
      <c r="A53" s="61" t="s">
        <v>153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1:18" ht="91.5" customHeight="1">
      <c r="A54" s="30">
        <v>9</v>
      </c>
      <c r="B54" s="64" t="s">
        <v>81</v>
      </c>
      <c r="C54" s="30">
        <v>0.6</v>
      </c>
      <c r="D54" s="30">
        <v>200</v>
      </c>
      <c r="E54" s="5">
        <v>2.7</v>
      </c>
      <c r="F54" s="5">
        <f>(0.0149+0.4725)*1000</f>
        <v>487.4</v>
      </c>
      <c r="G54" s="30" t="s">
        <v>82</v>
      </c>
      <c r="H54" s="7">
        <v>56</v>
      </c>
      <c r="I54" s="7">
        <f>J54+K54</f>
        <v>45</v>
      </c>
      <c r="J54" s="7">
        <v>45</v>
      </c>
      <c r="K54" s="7">
        <v>0</v>
      </c>
      <c r="L54" s="8" t="s">
        <v>154</v>
      </c>
      <c r="M54" s="30" t="s">
        <v>23</v>
      </c>
      <c r="N54" s="5">
        <v>0</v>
      </c>
      <c r="O54" s="8" t="s">
        <v>29</v>
      </c>
      <c r="P54" s="8" t="s">
        <v>103</v>
      </c>
      <c r="Q54" s="30" t="s">
        <v>24</v>
      </c>
      <c r="R54" s="30" t="s">
        <v>23</v>
      </c>
    </row>
    <row r="55" spans="1:18" s="14" customFormat="1">
      <c r="A55" s="9"/>
      <c r="B55" s="10" t="s">
        <v>25</v>
      </c>
      <c r="C55" s="9"/>
      <c r="D55" s="9"/>
      <c r="E55" s="11">
        <f>E54</f>
        <v>2.7</v>
      </c>
      <c r="F55" s="11">
        <f>F54</f>
        <v>487.4</v>
      </c>
      <c r="G55" s="9"/>
      <c r="H55" s="12">
        <f>H54</f>
        <v>56</v>
      </c>
      <c r="I55" s="12">
        <f t="shared" ref="I55:K55" si="15">I54</f>
        <v>45</v>
      </c>
      <c r="J55" s="12">
        <f t="shared" si="15"/>
        <v>45</v>
      </c>
      <c r="K55" s="12">
        <f t="shared" si="15"/>
        <v>0</v>
      </c>
      <c r="L55" s="9"/>
      <c r="M55" s="9">
        <v>0</v>
      </c>
      <c r="N55" s="11">
        <f>N54</f>
        <v>0</v>
      </c>
      <c r="O55" s="11" t="str">
        <f t="shared" ref="O55" si="16">O54</f>
        <v>0</v>
      </c>
      <c r="P55" s="11"/>
      <c r="Q55" s="9">
        <v>0</v>
      </c>
      <c r="R55" s="9">
        <v>0</v>
      </c>
    </row>
    <row r="56" spans="1: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s="21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s="21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s="21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s="21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21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99">
    <mergeCell ref="A1:R1"/>
    <mergeCell ref="A2:R2"/>
    <mergeCell ref="A3:A5"/>
    <mergeCell ref="B3:B5"/>
    <mergeCell ref="C3:C5"/>
    <mergeCell ref="D3:D5"/>
    <mergeCell ref="E3:E5"/>
    <mergeCell ref="F3:F5"/>
    <mergeCell ref="G3:G5"/>
    <mergeCell ref="H3:L3"/>
    <mergeCell ref="M3:P3"/>
    <mergeCell ref="Q3:Q5"/>
    <mergeCell ref="R3:R5"/>
    <mergeCell ref="H4:H5"/>
    <mergeCell ref="I4:K4"/>
    <mergeCell ref="L4:L5"/>
    <mergeCell ref="M4:P4"/>
    <mergeCell ref="A7:R7"/>
    <mergeCell ref="A10:A15"/>
    <mergeCell ref="B10:B15"/>
    <mergeCell ref="C10:C15"/>
    <mergeCell ref="D10:D15"/>
    <mergeCell ref="E10:E15"/>
    <mergeCell ref="F10:F15"/>
    <mergeCell ref="G13:G14"/>
    <mergeCell ref="H13:H14"/>
    <mergeCell ref="O13:O14"/>
    <mergeCell ref="P13:P14"/>
    <mergeCell ref="R13:R14"/>
    <mergeCell ref="A17:R17"/>
    <mergeCell ref="A18:A22"/>
    <mergeCell ref="B18:B22"/>
    <mergeCell ref="C18:C22"/>
    <mergeCell ref="D18:D22"/>
    <mergeCell ref="E18:E22"/>
    <mergeCell ref="F18:F22"/>
    <mergeCell ref="I13:I14"/>
    <mergeCell ref="J13:J14"/>
    <mergeCell ref="K13:K14"/>
    <mergeCell ref="L13:L14"/>
    <mergeCell ref="M13:M14"/>
    <mergeCell ref="N13:N14"/>
    <mergeCell ref="A44:R44"/>
    <mergeCell ref="A45:A51"/>
    <mergeCell ref="B45:B51"/>
    <mergeCell ref="C45:C51"/>
    <mergeCell ref="D45:D51"/>
    <mergeCell ref="E45:E51"/>
    <mergeCell ref="F45:F51"/>
    <mergeCell ref="G50:G51"/>
    <mergeCell ref="H50:H51"/>
    <mergeCell ref="O50:O51"/>
    <mergeCell ref="P50:P51"/>
    <mergeCell ref="R50:R51"/>
    <mergeCell ref="A30:R30"/>
    <mergeCell ref="A31:A36"/>
    <mergeCell ref="B31:B36"/>
    <mergeCell ref="C31:C36"/>
    <mergeCell ref="D31:D36"/>
    <mergeCell ref="E31:E36"/>
    <mergeCell ref="F31:F36"/>
    <mergeCell ref="I50:I51"/>
    <mergeCell ref="J50:J51"/>
    <mergeCell ref="K50:K51"/>
    <mergeCell ref="L50:L51"/>
    <mergeCell ref="M50:M51"/>
    <mergeCell ref="N50:N51"/>
    <mergeCell ref="F24:F28"/>
    <mergeCell ref="G26:G27"/>
    <mergeCell ref="A38:R38"/>
    <mergeCell ref="G33:G34"/>
    <mergeCell ref="H33:H34"/>
    <mergeCell ref="I33:I34"/>
    <mergeCell ref="J33:J34"/>
    <mergeCell ref="K33:K34"/>
    <mergeCell ref="L33:L34"/>
    <mergeCell ref="R33:R34"/>
    <mergeCell ref="H26:H27"/>
    <mergeCell ref="A24:A28"/>
    <mergeCell ref="B24:B28"/>
    <mergeCell ref="C24:C28"/>
    <mergeCell ref="D24:D28"/>
    <mergeCell ref="E24:E28"/>
    <mergeCell ref="A53:R53"/>
    <mergeCell ref="O26:O27"/>
    <mergeCell ref="P26:P27"/>
    <mergeCell ref="R26:R27"/>
    <mergeCell ref="A40:A42"/>
    <mergeCell ref="B40:B42"/>
    <mergeCell ref="C40:C42"/>
    <mergeCell ref="D40:D42"/>
    <mergeCell ref="E40:E42"/>
    <mergeCell ref="F40:F42"/>
    <mergeCell ref="I26:I27"/>
    <mergeCell ref="J26:J27"/>
    <mergeCell ref="K26:K27"/>
    <mergeCell ref="L26:L27"/>
    <mergeCell ref="M26:M27"/>
    <mergeCell ref="N26:N27"/>
  </mergeCells>
  <pageMargins left="0.39370078740157483" right="0.19685039370078741" top="0.39370078740157483" bottom="0.3937007874015748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12" sqref="I12"/>
    </sheetView>
  </sheetViews>
  <sheetFormatPr defaultRowHeight="15"/>
  <cols>
    <col min="1" max="1" width="4.42578125" customWidth="1"/>
    <col min="2" max="2" width="19.42578125" customWidth="1"/>
    <col min="3" max="3" width="10.5703125" customWidth="1"/>
    <col min="4" max="4" width="11.7109375" customWidth="1"/>
    <col min="5" max="5" width="14.7109375" customWidth="1"/>
    <col min="6" max="6" width="11.5703125" customWidth="1"/>
    <col min="7" max="7" width="12.7109375" customWidth="1"/>
    <col min="8" max="8" width="10.85546875" customWidth="1"/>
    <col min="12" max="12" width="13" customWidth="1"/>
    <col min="13" max="13" width="14.140625" customWidth="1"/>
    <col min="14" max="14" width="11.85546875" customWidth="1"/>
    <col min="15" max="15" width="10.42578125" customWidth="1"/>
    <col min="16" max="16" width="12.85546875" customWidth="1"/>
    <col min="17" max="17" width="15.85546875" customWidth="1"/>
    <col min="18" max="18" width="12.28515625" customWidth="1"/>
    <col min="19" max="19" width="9.140625" style="21"/>
  </cols>
  <sheetData>
    <row r="1" spans="1:19" ht="27.75" customHeight="1">
      <c r="A1" s="37" t="s">
        <v>128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5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8.75" customHeight="1">
      <c r="A3" s="32" t="s">
        <v>1</v>
      </c>
      <c r="B3" s="32" t="s">
        <v>2</v>
      </c>
      <c r="C3" s="32" t="s">
        <v>21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/>
      <c r="J3" s="32"/>
      <c r="K3" s="32"/>
      <c r="L3" s="32"/>
      <c r="M3" s="32"/>
      <c r="N3" s="32"/>
      <c r="O3" s="32"/>
      <c r="P3" s="32"/>
      <c r="Q3" s="32" t="s">
        <v>19</v>
      </c>
      <c r="R3" s="32" t="s">
        <v>20</v>
      </c>
      <c r="S3" s="57" t="s">
        <v>90</v>
      </c>
    </row>
    <row r="4" spans="1:19" ht="41.25" customHeight="1">
      <c r="A4" s="32"/>
      <c r="B4" s="32"/>
      <c r="C4" s="32"/>
      <c r="D4" s="32"/>
      <c r="E4" s="32"/>
      <c r="F4" s="32"/>
      <c r="G4" s="32"/>
      <c r="H4" s="32" t="s">
        <v>8</v>
      </c>
      <c r="I4" s="32" t="s">
        <v>9</v>
      </c>
      <c r="J4" s="32"/>
      <c r="K4" s="32"/>
      <c r="L4" s="32" t="s">
        <v>13</v>
      </c>
      <c r="M4" s="32" t="s">
        <v>14</v>
      </c>
      <c r="N4" s="32"/>
      <c r="O4" s="32"/>
      <c r="P4" s="32"/>
      <c r="Q4" s="32"/>
      <c r="R4" s="32"/>
      <c r="S4" s="57"/>
    </row>
    <row r="5" spans="1:19" ht="73.5" customHeight="1">
      <c r="A5" s="32"/>
      <c r="B5" s="32"/>
      <c r="C5" s="32"/>
      <c r="D5" s="32"/>
      <c r="E5" s="32"/>
      <c r="F5" s="32"/>
      <c r="G5" s="32"/>
      <c r="H5" s="32"/>
      <c r="I5" s="3" t="s">
        <v>10</v>
      </c>
      <c r="J5" s="3" t="s">
        <v>11</v>
      </c>
      <c r="K5" s="3" t="s">
        <v>12</v>
      </c>
      <c r="L5" s="32"/>
      <c r="M5" s="3" t="s">
        <v>15</v>
      </c>
      <c r="N5" s="3" t="s">
        <v>16</v>
      </c>
      <c r="O5" s="3" t="s">
        <v>17</v>
      </c>
      <c r="P5" s="3" t="s">
        <v>18</v>
      </c>
      <c r="Q5" s="32"/>
      <c r="R5" s="32"/>
      <c r="S5" s="57"/>
    </row>
    <row r="6" spans="1:19">
      <c r="A6" s="3">
        <v>1</v>
      </c>
      <c r="B6" s="3">
        <f>A6+1</f>
        <v>2</v>
      </c>
      <c r="C6" s="3">
        <f t="shared" ref="C6:R6" si="0">B6+1</f>
        <v>3</v>
      </c>
      <c r="D6" s="3">
        <f t="shared" si="0"/>
        <v>4</v>
      </c>
      <c r="E6" s="3">
        <f t="shared" si="0"/>
        <v>5</v>
      </c>
      <c r="F6" s="3">
        <f t="shared" si="0"/>
        <v>6</v>
      </c>
      <c r="G6" s="3">
        <f t="shared" si="0"/>
        <v>7</v>
      </c>
      <c r="H6" s="3">
        <f t="shared" si="0"/>
        <v>8</v>
      </c>
      <c r="I6" s="3">
        <f t="shared" si="0"/>
        <v>9</v>
      </c>
      <c r="J6" s="3">
        <f t="shared" si="0"/>
        <v>10</v>
      </c>
      <c r="K6" s="3">
        <f t="shared" si="0"/>
        <v>11</v>
      </c>
      <c r="L6" s="3">
        <f t="shared" si="0"/>
        <v>12</v>
      </c>
      <c r="M6" s="3">
        <f t="shared" si="0"/>
        <v>13</v>
      </c>
      <c r="N6" s="3">
        <f t="shared" si="0"/>
        <v>14</v>
      </c>
      <c r="O6" s="3">
        <f t="shared" si="0"/>
        <v>15</v>
      </c>
      <c r="P6" s="3">
        <f t="shared" si="0"/>
        <v>16</v>
      </c>
      <c r="Q6" s="3">
        <f t="shared" si="0"/>
        <v>17</v>
      </c>
      <c r="R6" s="3">
        <f t="shared" si="0"/>
        <v>18</v>
      </c>
      <c r="S6" s="22">
        <v>19</v>
      </c>
    </row>
    <row r="7" spans="1:19" ht="20.100000000000001" customHeight="1">
      <c r="A7" s="44" t="s">
        <v>89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ht="90">
      <c r="A8" s="3">
        <v>1</v>
      </c>
      <c r="B8" s="3" t="s">
        <v>26</v>
      </c>
      <c r="C8" s="3">
        <v>0.6</v>
      </c>
      <c r="D8" s="3">
        <v>200</v>
      </c>
      <c r="E8" s="5">
        <f>0.2+0.5</f>
        <v>0.7</v>
      </c>
      <c r="F8" s="5">
        <f>(0.037+0.714)*1000</f>
        <v>751</v>
      </c>
      <c r="G8" s="3" t="s">
        <v>22</v>
      </c>
      <c r="H8" s="6">
        <v>97</v>
      </c>
      <c r="I8" s="6">
        <f>J8+K8</f>
        <v>67.899999999999991</v>
      </c>
      <c r="J8" s="6">
        <f>97/100*70</f>
        <v>67.899999999999991</v>
      </c>
      <c r="K8" s="6">
        <v>0</v>
      </c>
      <c r="L8" s="8" t="s">
        <v>92</v>
      </c>
      <c r="M8" s="3" t="s">
        <v>23</v>
      </c>
      <c r="N8" s="5">
        <v>0</v>
      </c>
      <c r="O8" s="5">
        <v>0</v>
      </c>
      <c r="P8" s="8" t="s">
        <v>103</v>
      </c>
      <c r="Q8" s="3" t="s">
        <v>24</v>
      </c>
      <c r="R8" s="3" t="s">
        <v>23</v>
      </c>
      <c r="S8" s="22" t="s">
        <v>91</v>
      </c>
    </row>
    <row r="9" spans="1:19" s="14" customFormat="1">
      <c r="A9" s="9"/>
      <c r="B9" s="10" t="s">
        <v>25</v>
      </c>
      <c r="C9" s="9"/>
      <c r="D9" s="9"/>
      <c r="E9" s="11">
        <f>E8</f>
        <v>0.7</v>
      </c>
      <c r="F9" s="11">
        <f t="shared" ref="F9:O9" si="1">F8</f>
        <v>751</v>
      </c>
      <c r="G9" s="11"/>
      <c r="H9" s="12">
        <f t="shared" si="1"/>
        <v>97</v>
      </c>
      <c r="I9" s="12">
        <f t="shared" si="1"/>
        <v>67.899999999999991</v>
      </c>
      <c r="J9" s="12">
        <f t="shared" si="1"/>
        <v>67.899999999999991</v>
      </c>
      <c r="K9" s="12">
        <f t="shared" si="1"/>
        <v>0</v>
      </c>
      <c r="L9" s="11"/>
      <c r="M9" s="15">
        <v>0</v>
      </c>
      <c r="N9" s="11">
        <f t="shared" si="1"/>
        <v>0</v>
      </c>
      <c r="O9" s="11">
        <f t="shared" si="1"/>
        <v>0</v>
      </c>
      <c r="P9" s="13"/>
      <c r="Q9" s="15">
        <v>0</v>
      </c>
      <c r="R9" s="15">
        <v>0</v>
      </c>
      <c r="S9" s="23"/>
    </row>
    <row r="10" spans="1:19" ht="89.25" customHeight="1">
      <c r="A10" s="47">
        <v>1</v>
      </c>
      <c r="B10" s="47" t="s">
        <v>133</v>
      </c>
      <c r="C10" s="47">
        <v>0.6</v>
      </c>
      <c r="D10" s="47" t="s">
        <v>27</v>
      </c>
      <c r="E10" s="39">
        <f>3+5.6+4.1+5+1.5</f>
        <v>19.2</v>
      </c>
      <c r="F10" s="58">
        <v>9021.16</v>
      </c>
      <c r="G10" s="27" t="s">
        <v>28</v>
      </c>
      <c r="H10" s="7">
        <v>53</v>
      </c>
      <c r="I10" s="7">
        <f t="shared" ref="I10:I15" si="2">J10+K10</f>
        <v>47.7</v>
      </c>
      <c r="J10" s="7">
        <f>53/100*90</f>
        <v>47.7</v>
      </c>
      <c r="K10" s="7">
        <v>0</v>
      </c>
      <c r="L10" s="8" t="s">
        <v>92</v>
      </c>
      <c r="M10" s="27" t="s">
        <v>23</v>
      </c>
      <c r="N10" s="5">
        <v>0</v>
      </c>
      <c r="O10" s="5" t="s">
        <v>29</v>
      </c>
      <c r="P10" s="8" t="s">
        <v>103</v>
      </c>
      <c r="Q10" s="27" t="s">
        <v>24</v>
      </c>
      <c r="R10" s="27" t="s">
        <v>23</v>
      </c>
      <c r="S10" s="41" t="s">
        <v>101</v>
      </c>
    </row>
    <row r="11" spans="1:19" ht="96" customHeight="1">
      <c r="A11" s="49"/>
      <c r="B11" s="49"/>
      <c r="C11" s="49"/>
      <c r="D11" s="49"/>
      <c r="E11" s="54"/>
      <c r="F11" s="59"/>
      <c r="G11" s="27" t="s">
        <v>30</v>
      </c>
      <c r="H11" s="7">
        <v>119</v>
      </c>
      <c r="I11" s="7">
        <f t="shared" si="2"/>
        <v>72</v>
      </c>
      <c r="J11" s="7">
        <v>72</v>
      </c>
      <c r="K11" s="7">
        <v>0</v>
      </c>
      <c r="L11" s="8" t="s">
        <v>94</v>
      </c>
      <c r="M11" s="27" t="s">
        <v>134</v>
      </c>
      <c r="N11" s="5">
        <v>300</v>
      </c>
      <c r="O11" s="5">
        <v>1.26</v>
      </c>
      <c r="P11" s="8" t="s">
        <v>103</v>
      </c>
      <c r="Q11" s="27" t="s">
        <v>96</v>
      </c>
      <c r="R11" s="27" t="s">
        <v>31</v>
      </c>
      <c r="S11" s="43"/>
    </row>
    <row r="12" spans="1:19" ht="93.75" customHeight="1">
      <c r="A12" s="49"/>
      <c r="B12" s="49"/>
      <c r="C12" s="49"/>
      <c r="D12" s="49"/>
      <c r="E12" s="54"/>
      <c r="F12" s="59"/>
      <c r="G12" s="27" t="s">
        <v>32</v>
      </c>
      <c r="H12" s="7">
        <v>109</v>
      </c>
      <c r="I12" s="7">
        <f t="shared" si="2"/>
        <v>66</v>
      </c>
      <c r="J12" s="7">
        <v>66</v>
      </c>
      <c r="K12" s="7">
        <v>0</v>
      </c>
      <c r="L12" s="8" t="s">
        <v>94</v>
      </c>
      <c r="M12" s="27" t="s">
        <v>135</v>
      </c>
      <c r="N12" s="5">
        <v>300</v>
      </c>
      <c r="O12" s="5">
        <v>1.26</v>
      </c>
      <c r="P12" s="8" t="s">
        <v>103</v>
      </c>
      <c r="Q12" s="27" t="s">
        <v>104</v>
      </c>
      <c r="R12" s="27" t="s">
        <v>60</v>
      </c>
      <c r="S12" s="43"/>
    </row>
    <row r="13" spans="1:19" ht="51">
      <c r="A13" s="49"/>
      <c r="B13" s="49"/>
      <c r="C13" s="49"/>
      <c r="D13" s="49"/>
      <c r="E13" s="54"/>
      <c r="F13" s="59"/>
      <c r="G13" s="47" t="s">
        <v>33</v>
      </c>
      <c r="H13" s="52">
        <v>336</v>
      </c>
      <c r="I13" s="52">
        <f t="shared" si="2"/>
        <v>247</v>
      </c>
      <c r="J13" s="52">
        <v>215</v>
      </c>
      <c r="K13" s="52">
        <v>32</v>
      </c>
      <c r="L13" s="50" t="s">
        <v>94</v>
      </c>
      <c r="M13" s="47" t="s">
        <v>136</v>
      </c>
      <c r="N13" s="39">
        <f>189+300+100</f>
        <v>589</v>
      </c>
      <c r="O13" s="58">
        <f>0.63*5</f>
        <v>3.15</v>
      </c>
      <c r="P13" s="50" t="s">
        <v>102</v>
      </c>
      <c r="Q13" s="27" t="s">
        <v>129</v>
      </c>
      <c r="R13" s="47" t="s">
        <v>34</v>
      </c>
      <c r="S13" s="43"/>
    </row>
    <row r="14" spans="1:19" ht="83.25" customHeight="1">
      <c r="A14" s="49"/>
      <c r="B14" s="49"/>
      <c r="C14" s="49"/>
      <c r="D14" s="49"/>
      <c r="E14" s="54"/>
      <c r="F14" s="59"/>
      <c r="G14" s="48"/>
      <c r="H14" s="53"/>
      <c r="I14" s="53"/>
      <c r="J14" s="53"/>
      <c r="K14" s="53"/>
      <c r="L14" s="51"/>
      <c r="M14" s="48"/>
      <c r="N14" s="40"/>
      <c r="O14" s="60"/>
      <c r="P14" s="51"/>
      <c r="Q14" s="27" t="s">
        <v>131</v>
      </c>
      <c r="R14" s="48"/>
      <c r="S14" s="43"/>
    </row>
    <row r="15" spans="1:19">
      <c r="A15" s="48"/>
      <c r="B15" s="48"/>
      <c r="C15" s="48"/>
      <c r="D15" s="48"/>
      <c r="E15" s="40"/>
      <c r="F15" s="60"/>
      <c r="G15" s="27" t="s">
        <v>35</v>
      </c>
      <c r="H15" s="7">
        <v>38</v>
      </c>
      <c r="I15" s="7">
        <f t="shared" si="2"/>
        <v>38</v>
      </c>
      <c r="J15" s="7">
        <v>38</v>
      </c>
      <c r="K15" s="7">
        <v>0</v>
      </c>
      <c r="L15" s="8" t="s">
        <v>94</v>
      </c>
      <c r="M15" s="27" t="s">
        <v>23</v>
      </c>
      <c r="N15" s="5">
        <v>0</v>
      </c>
      <c r="O15" s="5" t="s">
        <v>29</v>
      </c>
      <c r="P15" s="8" t="s">
        <v>29</v>
      </c>
      <c r="Q15" s="27" t="s">
        <v>24</v>
      </c>
      <c r="R15" s="27" t="s">
        <v>23</v>
      </c>
      <c r="S15" s="42"/>
    </row>
    <row r="16" spans="1:19" s="14" customFormat="1">
      <c r="A16" s="9"/>
      <c r="B16" s="10" t="s">
        <v>25</v>
      </c>
      <c r="C16" s="9"/>
      <c r="D16" s="9"/>
      <c r="E16" s="11">
        <f>E10</f>
        <v>19.2</v>
      </c>
      <c r="F16" s="11">
        <f>F10</f>
        <v>9021.16</v>
      </c>
      <c r="G16" s="11"/>
      <c r="H16" s="12">
        <f>SUM(H10:H15)</f>
        <v>655</v>
      </c>
      <c r="I16" s="12">
        <f t="shared" ref="I16:K16" si="3">SUM(I10:I15)</f>
        <v>470.7</v>
      </c>
      <c r="J16" s="12">
        <f t="shared" si="3"/>
        <v>438.7</v>
      </c>
      <c r="K16" s="12">
        <f t="shared" si="3"/>
        <v>32</v>
      </c>
      <c r="L16" s="11"/>
      <c r="M16" s="15">
        <v>1</v>
      </c>
      <c r="N16" s="11">
        <f>N10+N11+N12+N14+N15</f>
        <v>600</v>
      </c>
      <c r="O16" s="11">
        <f t="shared" ref="O16" si="4">O10+O11+O12+O14+O15</f>
        <v>2.52</v>
      </c>
      <c r="P16" s="11"/>
      <c r="Q16" s="15">
        <v>4</v>
      </c>
      <c r="R16" s="15">
        <v>8</v>
      </c>
      <c r="S16" s="23"/>
    </row>
    <row r="17" spans="1:19" ht="20.100000000000001" customHeight="1">
      <c r="A17" s="44" t="s">
        <v>100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</row>
    <row r="18" spans="1:19" ht="76.5" customHeight="1">
      <c r="A18" s="47">
        <v>2</v>
      </c>
      <c r="B18" s="47" t="s">
        <v>137</v>
      </c>
      <c r="C18" s="47">
        <v>0.6</v>
      </c>
      <c r="D18" s="47" t="s">
        <v>36</v>
      </c>
      <c r="E18" s="39">
        <f>1.4+4.8+3.5+5.8+4</f>
        <v>19.5</v>
      </c>
      <c r="F18" s="39">
        <v>7511.16</v>
      </c>
      <c r="G18" s="27" t="s">
        <v>37</v>
      </c>
      <c r="H18" s="7">
        <v>101</v>
      </c>
      <c r="I18" s="7">
        <f>J18+K18</f>
        <v>75</v>
      </c>
      <c r="J18" s="7">
        <v>75</v>
      </c>
      <c r="K18" s="7">
        <v>0</v>
      </c>
      <c r="L18" s="8" t="s">
        <v>94</v>
      </c>
      <c r="M18" s="27" t="s">
        <v>23</v>
      </c>
      <c r="N18" s="5">
        <v>0</v>
      </c>
      <c r="O18" s="8" t="s">
        <v>29</v>
      </c>
      <c r="P18" s="8" t="s">
        <v>103</v>
      </c>
      <c r="Q18" s="27" t="s">
        <v>24</v>
      </c>
      <c r="R18" s="27" t="s">
        <v>23</v>
      </c>
      <c r="S18" s="41" t="s">
        <v>93</v>
      </c>
    </row>
    <row r="19" spans="1:19" ht="67.5" customHeight="1">
      <c r="A19" s="49"/>
      <c r="B19" s="49"/>
      <c r="C19" s="49"/>
      <c r="D19" s="49"/>
      <c r="E19" s="54"/>
      <c r="F19" s="54"/>
      <c r="G19" s="27" t="s">
        <v>138</v>
      </c>
      <c r="H19" s="7">
        <v>48</v>
      </c>
      <c r="I19" s="7">
        <f t="shared" ref="I19:I22" si="5">J19+K19</f>
        <v>0</v>
      </c>
      <c r="J19" s="16">
        <v>0</v>
      </c>
      <c r="K19" s="7">
        <v>0</v>
      </c>
      <c r="L19" s="8" t="s">
        <v>103</v>
      </c>
      <c r="M19" s="27" t="s">
        <v>87</v>
      </c>
      <c r="N19" s="5">
        <v>175</v>
      </c>
      <c r="O19" s="20" t="s">
        <v>88</v>
      </c>
      <c r="P19" s="8" t="s">
        <v>102</v>
      </c>
      <c r="Q19" s="27" t="s">
        <v>24</v>
      </c>
      <c r="R19" s="27" t="s">
        <v>38</v>
      </c>
      <c r="S19" s="43"/>
    </row>
    <row r="20" spans="1:19">
      <c r="A20" s="49"/>
      <c r="B20" s="49"/>
      <c r="C20" s="49"/>
      <c r="D20" s="49"/>
      <c r="E20" s="54"/>
      <c r="F20" s="54"/>
      <c r="G20" s="27" t="s">
        <v>39</v>
      </c>
      <c r="H20" s="7">
        <v>29</v>
      </c>
      <c r="I20" s="7">
        <f t="shared" si="5"/>
        <v>0</v>
      </c>
      <c r="J20" s="7">
        <v>0</v>
      </c>
      <c r="K20" s="7">
        <v>0</v>
      </c>
      <c r="L20" s="8" t="s">
        <v>103</v>
      </c>
      <c r="M20" s="27" t="s">
        <v>23</v>
      </c>
      <c r="N20" s="5">
        <v>0</v>
      </c>
      <c r="O20" s="8" t="s">
        <v>29</v>
      </c>
      <c r="P20" s="8" t="s">
        <v>103</v>
      </c>
      <c r="Q20" s="27" t="s">
        <v>24</v>
      </c>
      <c r="R20" s="27" t="s">
        <v>40</v>
      </c>
      <c r="S20" s="43"/>
    </row>
    <row r="21" spans="1:19" ht="148.5" customHeight="1">
      <c r="A21" s="49"/>
      <c r="B21" s="49"/>
      <c r="C21" s="49"/>
      <c r="D21" s="49"/>
      <c r="E21" s="54"/>
      <c r="F21" s="54"/>
      <c r="G21" s="27" t="s">
        <v>41</v>
      </c>
      <c r="H21" s="16">
        <v>422</v>
      </c>
      <c r="I21" s="7">
        <f t="shared" si="5"/>
        <v>236</v>
      </c>
      <c r="J21" s="7">
        <v>186</v>
      </c>
      <c r="K21" s="7">
        <v>50</v>
      </c>
      <c r="L21" s="8" t="s">
        <v>119</v>
      </c>
      <c r="M21" s="27" t="s">
        <v>139</v>
      </c>
      <c r="N21" s="5">
        <f>200+300</f>
        <v>500</v>
      </c>
      <c r="O21" s="28">
        <f>0.63*4</f>
        <v>2.52</v>
      </c>
      <c r="P21" s="8" t="s">
        <v>102</v>
      </c>
      <c r="Q21" s="27" t="s">
        <v>95</v>
      </c>
      <c r="R21" s="27" t="s">
        <v>43</v>
      </c>
      <c r="S21" s="43"/>
    </row>
    <row r="22" spans="1:19" ht="120" customHeight="1">
      <c r="A22" s="48"/>
      <c r="B22" s="48"/>
      <c r="C22" s="48"/>
      <c r="D22" s="48"/>
      <c r="E22" s="40"/>
      <c r="F22" s="40"/>
      <c r="G22" s="26" t="s">
        <v>132</v>
      </c>
      <c r="H22" s="16">
        <v>35</v>
      </c>
      <c r="I22" s="16">
        <f t="shared" si="5"/>
        <v>15</v>
      </c>
      <c r="J22" s="16">
        <v>15</v>
      </c>
      <c r="K22" s="16">
        <v>0</v>
      </c>
      <c r="L22" s="19" t="s">
        <v>119</v>
      </c>
      <c r="M22" s="26" t="s">
        <v>140</v>
      </c>
      <c r="N22" s="17">
        <v>300</v>
      </c>
      <c r="O22" s="29">
        <f>0.63*2</f>
        <v>1.26</v>
      </c>
      <c r="P22" s="19" t="s">
        <v>103</v>
      </c>
      <c r="Q22" s="26" t="s">
        <v>95</v>
      </c>
      <c r="R22" s="26" t="s">
        <v>40</v>
      </c>
      <c r="S22" s="42"/>
    </row>
    <row r="23" spans="1:19" s="14" customFormat="1">
      <c r="A23" s="9"/>
      <c r="B23" s="10" t="s">
        <v>25</v>
      </c>
      <c r="C23" s="9"/>
      <c r="D23" s="9"/>
      <c r="E23" s="11">
        <f>SUM(E18)</f>
        <v>19.5</v>
      </c>
      <c r="F23" s="11">
        <f>SUM(F18)</f>
        <v>7511.16</v>
      </c>
      <c r="G23" s="9"/>
      <c r="H23" s="12">
        <f>SUM(H18:H22)</f>
        <v>635</v>
      </c>
      <c r="I23" s="12">
        <f t="shared" ref="I23:K23" si="6">SUM(I18:I22)</f>
        <v>326</v>
      </c>
      <c r="J23" s="12">
        <f t="shared" si="6"/>
        <v>276</v>
      </c>
      <c r="K23" s="12">
        <f t="shared" si="6"/>
        <v>50</v>
      </c>
      <c r="L23" s="9"/>
      <c r="M23" s="9">
        <v>2</v>
      </c>
      <c r="N23" s="11">
        <f>SUM(N18:N22)</f>
        <v>975</v>
      </c>
      <c r="O23" s="11">
        <f>SUM(O18:O22)</f>
        <v>3.7800000000000002</v>
      </c>
      <c r="P23" s="11"/>
      <c r="Q23" s="9">
        <v>2</v>
      </c>
      <c r="R23" s="9">
        <v>8</v>
      </c>
      <c r="S23" s="23"/>
    </row>
    <row r="24" spans="1:19" ht="20.100000000000001" customHeight="1">
      <c r="A24" s="44" t="s">
        <v>107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</row>
    <row r="25" spans="1:19" ht="76.5" customHeight="1">
      <c r="A25" s="47">
        <v>4</v>
      </c>
      <c r="B25" s="47" t="s">
        <v>48</v>
      </c>
      <c r="C25" s="47">
        <v>0.6</v>
      </c>
      <c r="D25" s="47">
        <v>300</v>
      </c>
      <c r="E25" s="39">
        <f>1.2+6.4+3.6</f>
        <v>11.200000000000001</v>
      </c>
      <c r="F25" s="39">
        <f>(0.0036+0.0525+0.04+0.693)*1000+378</f>
        <v>1167.0999999999999</v>
      </c>
      <c r="G25" s="3" t="s">
        <v>44</v>
      </c>
      <c r="H25" s="7">
        <v>9</v>
      </c>
      <c r="I25" s="7">
        <f>J25+K25</f>
        <v>5</v>
      </c>
      <c r="J25" s="7">
        <v>5</v>
      </c>
      <c r="K25" s="7">
        <v>0</v>
      </c>
      <c r="L25" s="8" t="s">
        <v>123</v>
      </c>
      <c r="M25" s="3" t="s">
        <v>23</v>
      </c>
      <c r="N25" s="5">
        <v>0</v>
      </c>
      <c r="O25" s="8" t="s">
        <v>29</v>
      </c>
      <c r="P25" s="8" t="s">
        <v>103</v>
      </c>
      <c r="Q25" s="3" t="s">
        <v>24</v>
      </c>
      <c r="R25" s="3" t="s">
        <v>23</v>
      </c>
      <c r="S25" s="41" t="s">
        <v>110</v>
      </c>
    </row>
    <row r="26" spans="1:19" ht="54" customHeight="1">
      <c r="A26" s="49"/>
      <c r="B26" s="49"/>
      <c r="C26" s="49"/>
      <c r="D26" s="49"/>
      <c r="E26" s="54"/>
      <c r="F26" s="54"/>
      <c r="G26" s="3" t="s">
        <v>49</v>
      </c>
      <c r="H26" s="16">
        <v>190</v>
      </c>
      <c r="I26" s="7">
        <f>J26+K26</f>
        <v>66</v>
      </c>
      <c r="J26" s="7">
        <v>50</v>
      </c>
      <c r="K26" s="7">
        <v>16</v>
      </c>
      <c r="L26" s="8" t="s">
        <v>120</v>
      </c>
      <c r="M26" s="3" t="s">
        <v>45</v>
      </c>
      <c r="N26" s="5">
        <f>300*1.26</f>
        <v>378</v>
      </c>
      <c r="O26" s="19" t="s">
        <v>83</v>
      </c>
      <c r="P26" s="8" t="s">
        <v>123</v>
      </c>
      <c r="Q26" s="3" t="s">
        <v>24</v>
      </c>
      <c r="R26" s="3" t="s">
        <v>46</v>
      </c>
      <c r="S26" s="42"/>
    </row>
    <row r="27" spans="1:19" s="14" customFormat="1">
      <c r="A27" s="9"/>
      <c r="B27" s="10" t="s">
        <v>25</v>
      </c>
      <c r="C27" s="9"/>
      <c r="D27" s="9"/>
      <c r="E27" s="11">
        <f>E25</f>
        <v>11.200000000000001</v>
      </c>
      <c r="F27" s="11">
        <f>F25</f>
        <v>1167.0999999999999</v>
      </c>
      <c r="G27" s="9"/>
      <c r="H27" s="12">
        <f>H25+H26</f>
        <v>199</v>
      </c>
      <c r="I27" s="12">
        <f t="shared" ref="I27:K27" si="7">I25+I26</f>
        <v>71</v>
      </c>
      <c r="J27" s="12">
        <f t="shared" si="7"/>
        <v>55</v>
      </c>
      <c r="K27" s="12">
        <f t="shared" si="7"/>
        <v>16</v>
      </c>
      <c r="L27" s="9"/>
      <c r="M27" s="9">
        <v>1</v>
      </c>
      <c r="N27" s="11">
        <f>N25+N26</f>
        <v>378</v>
      </c>
      <c r="O27" s="11">
        <f>O25+O26</f>
        <v>1.26</v>
      </c>
      <c r="P27" s="11"/>
      <c r="Q27" s="9">
        <v>0</v>
      </c>
      <c r="R27" s="9">
        <v>5</v>
      </c>
      <c r="S27" s="23"/>
    </row>
    <row r="28" spans="1:19" ht="20.100000000000001" customHeight="1">
      <c r="A28" s="44" t="s">
        <v>112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</row>
    <row r="29" spans="1:19" ht="89.25" customHeight="1">
      <c r="A29" s="47">
        <v>5</v>
      </c>
      <c r="B29" s="47" t="s">
        <v>50</v>
      </c>
      <c r="C29" s="47">
        <v>0.6</v>
      </c>
      <c r="D29" s="47" t="s">
        <v>51</v>
      </c>
      <c r="E29" s="39">
        <f>1.2+6.5+6.7+5.5+3.9+5</f>
        <v>28.799999999999997</v>
      </c>
      <c r="F29" s="39">
        <f>(0.0011+0.222+0.036+0.972+0.031+0.92+0.004+0.0612+0.018+0.562+0.177+3.486+2.655+3)*1000+150</f>
        <v>12295.300000000001</v>
      </c>
      <c r="G29" s="3" t="s">
        <v>52</v>
      </c>
      <c r="H29" s="7">
        <v>17</v>
      </c>
      <c r="I29" s="7">
        <f>J29+K29</f>
        <v>14</v>
      </c>
      <c r="J29" s="7">
        <v>14</v>
      </c>
      <c r="K29" s="7">
        <v>0</v>
      </c>
      <c r="L29" s="8" t="s">
        <v>121</v>
      </c>
      <c r="M29" s="3" t="s">
        <v>23</v>
      </c>
      <c r="N29" s="5">
        <v>0</v>
      </c>
      <c r="O29" s="8" t="s">
        <v>29</v>
      </c>
      <c r="P29" s="8" t="s">
        <v>103</v>
      </c>
      <c r="Q29" s="3" t="s">
        <v>24</v>
      </c>
      <c r="R29" s="3" t="s">
        <v>23</v>
      </c>
      <c r="S29" s="41" t="s">
        <v>111</v>
      </c>
    </row>
    <row r="30" spans="1:19" ht="25.5">
      <c r="A30" s="49"/>
      <c r="B30" s="49"/>
      <c r="C30" s="49"/>
      <c r="D30" s="49"/>
      <c r="E30" s="54"/>
      <c r="F30" s="54"/>
      <c r="G30" s="3" t="s">
        <v>53</v>
      </c>
      <c r="H30" s="7">
        <v>73</v>
      </c>
      <c r="I30" s="7">
        <f t="shared" ref="I30:I33" si="8">J30+K30</f>
        <v>44</v>
      </c>
      <c r="J30" s="7">
        <v>44</v>
      </c>
      <c r="K30" s="7">
        <v>0</v>
      </c>
      <c r="L30" s="8" t="s">
        <v>122</v>
      </c>
      <c r="M30" s="3" t="s">
        <v>23</v>
      </c>
      <c r="N30" s="5">
        <v>0</v>
      </c>
      <c r="O30" s="8" t="s">
        <v>29</v>
      </c>
      <c r="P30" s="8" t="s">
        <v>103</v>
      </c>
      <c r="Q30" s="3" t="s">
        <v>24</v>
      </c>
      <c r="R30" s="3" t="s">
        <v>54</v>
      </c>
      <c r="S30" s="43"/>
    </row>
    <row r="31" spans="1:19" ht="25.5">
      <c r="A31" s="49"/>
      <c r="B31" s="49"/>
      <c r="C31" s="49"/>
      <c r="D31" s="49"/>
      <c r="E31" s="54"/>
      <c r="F31" s="54"/>
      <c r="G31" s="3" t="s">
        <v>61</v>
      </c>
      <c r="H31" s="7">
        <v>111</v>
      </c>
      <c r="I31" s="7">
        <f t="shared" si="8"/>
        <v>90</v>
      </c>
      <c r="J31" s="7">
        <v>90</v>
      </c>
      <c r="K31" s="7">
        <v>0</v>
      </c>
      <c r="L31" s="8" t="s">
        <v>122</v>
      </c>
      <c r="M31" s="3" t="s">
        <v>23</v>
      </c>
      <c r="N31" s="5">
        <v>0</v>
      </c>
      <c r="O31" s="8" t="s">
        <v>29</v>
      </c>
      <c r="P31" s="8" t="s">
        <v>103</v>
      </c>
      <c r="Q31" s="3" t="s">
        <v>24</v>
      </c>
      <c r="R31" s="3" t="s">
        <v>54</v>
      </c>
      <c r="S31" s="43"/>
    </row>
    <row r="32" spans="1:19">
      <c r="A32" s="49"/>
      <c r="B32" s="49"/>
      <c r="C32" s="49"/>
      <c r="D32" s="49"/>
      <c r="E32" s="54"/>
      <c r="F32" s="54"/>
      <c r="G32" s="3" t="s">
        <v>55</v>
      </c>
      <c r="H32" s="7">
        <v>12</v>
      </c>
      <c r="I32" s="7">
        <f t="shared" si="8"/>
        <v>6</v>
      </c>
      <c r="J32" s="7">
        <v>6</v>
      </c>
      <c r="K32" s="7">
        <v>0</v>
      </c>
      <c r="L32" s="8" t="s">
        <v>122</v>
      </c>
      <c r="M32" s="3" t="s">
        <v>23</v>
      </c>
      <c r="N32" s="5">
        <v>0</v>
      </c>
      <c r="O32" s="8" t="s">
        <v>29</v>
      </c>
      <c r="P32" s="8" t="s">
        <v>103</v>
      </c>
      <c r="Q32" s="3" t="s">
        <v>24</v>
      </c>
      <c r="R32" s="3" t="s">
        <v>23</v>
      </c>
      <c r="S32" s="43"/>
    </row>
    <row r="33" spans="1:19" ht="21.75" customHeight="1">
      <c r="A33" s="49"/>
      <c r="B33" s="49"/>
      <c r="C33" s="49"/>
      <c r="D33" s="49"/>
      <c r="E33" s="54"/>
      <c r="F33" s="54"/>
      <c r="G33" s="3" t="s">
        <v>56</v>
      </c>
      <c r="H33" s="7">
        <v>48</v>
      </c>
      <c r="I33" s="7">
        <f t="shared" si="8"/>
        <v>40</v>
      </c>
      <c r="J33" s="7">
        <v>40</v>
      </c>
      <c r="K33" s="7">
        <v>0</v>
      </c>
      <c r="L33" s="8" t="s">
        <v>122</v>
      </c>
      <c r="M33" s="3" t="s">
        <v>23</v>
      </c>
      <c r="N33" s="5">
        <v>0</v>
      </c>
      <c r="O33" s="8" t="s">
        <v>29</v>
      </c>
      <c r="P33" s="8" t="s">
        <v>103</v>
      </c>
      <c r="Q33" s="3" t="s">
        <v>24</v>
      </c>
      <c r="R33" s="3" t="s">
        <v>23</v>
      </c>
      <c r="S33" s="43"/>
    </row>
    <row r="34" spans="1:19" ht="81.75" customHeight="1">
      <c r="A34" s="49"/>
      <c r="B34" s="49"/>
      <c r="C34" s="49"/>
      <c r="D34" s="49"/>
      <c r="E34" s="54"/>
      <c r="F34" s="54"/>
      <c r="G34" s="47" t="s">
        <v>57</v>
      </c>
      <c r="H34" s="55">
        <v>359</v>
      </c>
      <c r="I34" s="52">
        <f t="shared" ref="I34" si="9">J34+K34</f>
        <v>332</v>
      </c>
      <c r="J34" s="52">
        <v>252</v>
      </c>
      <c r="K34" s="52">
        <v>80</v>
      </c>
      <c r="L34" s="50" t="s">
        <v>122</v>
      </c>
      <c r="M34" s="47" t="s">
        <v>58</v>
      </c>
      <c r="N34" s="39">
        <f>300*0.5</f>
        <v>150</v>
      </c>
      <c r="O34" s="52" t="s">
        <v>42</v>
      </c>
      <c r="P34" s="50" t="s">
        <v>122</v>
      </c>
      <c r="Q34" s="25" t="s">
        <v>97</v>
      </c>
      <c r="R34" s="47" t="s">
        <v>59</v>
      </c>
      <c r="S34" s="43"/>
    </row>
    <row r="35" spans="1:19" ht="81.75" customHeight="1">
      <c r="A35" s="48"/>
      <c r="B35" s="48"/>
      <c r="C35" s="48"/>
      <c r="D35" s="48"/>
      <c r="E35" s="40"/>
      <c r="F35" s="40"/>
      <c r="G35" s="48"/>
      <c r="H35" s="56"/>
      <c r="I35" s="53"/>
      <c r="J35" s="53"/>
      <c r="K35" s="53"/>
      <c r="L35" s="51"/>
      <c r="M35" s="48"/>
      <c r="N35" s="40"/>
      <c r="O35" s="53"/>
      <c r="P35" s="51"/>
      <c r="Q35" s="25" t="s">
        <v>130</v>
      </c>
      <c r="R35" s="48"/>
      <c r="S35" s="42"/>
    </row>
    <row r="36" spans="1:19" s="14" customFormat="1">
      <c r="A36" s="9"/>
      <c r="B36" s="10" t="str">
        <f>B27</f>
        <v>Итого по объекту</v>
      </c>
      <c r="C36" s="9"/>
      <c r="D36" s="9"/>
      <c r="E36" s="11">
        <f>E29</f>
        <v>28.799999999999997</v>
      </c>
      <c r="F36" s="11">
        <f>F29</f>
        <v>12295.300000000001</v>
      </c>
      <c r="G36" s="9"/>
      <c r="H36" s="12">
        <f>SUM(H29:H35)</f>
        <v>620</v>
      </c>
      <c r="I36" s="12">
        <f t="shared" ref="I36:J36" si="10">SUM(I29:I35)</f>
        <v>526</v>
      </c>
      <c r="J36" s="12">
        <f t="shared" si="10"/>
        <v>446</v>
      </c>
      <c r="K36" s="12">
        <f>SUM(K29:K35)</f>
        <v>80</v>
      </c>
      <c r="L36" s="9"/>
      <c r="M36" s="9">
        <v>1</v>
      </c>
      <c r="N36" s="11">
        <f>SUM(N29:N35)</f>
        <v>150</v>
      </c>
      <c r="O36" s="11">
        <v>1</v>
      </c>
      <c r="P36" s="11"/>
      <c r="Q36" s="9">
        <v>2</v>
      </c>
      <c r="R36" s="9">
        <v>10</v>
      </c>
      <c r="S36" s="23"/>
    </row>
    <row r="37" spans="1:19" ht="20.100000000000001" customHeight="1">
      <c r="A37" s="44" t="s">
        <v>114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</row>
    <row r="38" spans="1:19" ht="114.75" customHeight="1">
      <c r="A38" s="47">
        <v>6</v>
      </c>
      <c r="B38" s="47" t="s">
        <v>62</v>
      </c>
      <c r="C38" s="47">
        <v>0.6</v>
      </c>
      <c r="D38" s="47" t="s">
        <v>63</v>
      </c>
      <c r="E38" s="39">
        <f>1.2+4+3.5+5.5+6.7</f>
        <v>20.9</v>
      </c>
      <c r="F38" s="58">
        <f>(0.029+0.4515+2.408+0.119+1.827+2.408+2.408+0.029+0.409+2.408+0.015+0.259+2.408+0.014+0.234)*1000+450+90</f>
        <v>15966.499999999998</v>
      </c>
      <c r="G38" s="3" t="s">
        <v>64</v>
      </c>
      <c r="H38" s="7">
        <v>85</v>
      </c>
      <c r="I38" s="7">
        <f>J38+K38</f>
        <v>43</v>
      </c>
      <c r="J38" s="7">
        <v>43</v>
      </c>
      <c r="K38" s="7">
        <v>0</v>
      </c>
      <c r="L38" s="8" t="s">
        <v>124</v>
      </c>
      <c r="M38" s="3" t="s">
        <v>23</v>
      </c>
      <c r="N38" s="5">
        <v>0</v>
      </c>
      <c r="O38" s="8" t="s">
        <v>29</v>
      </c>
      <c r="P38" s="8" t="s">
        <v>103</v>
      </c>
      <c r="Q38" s="18" t="s">
        <v>98</v>
      </c>
      <c r="R38" s="3" t="s">
        <v>65</v>
      </c>
      <c r="S38" s="41" t="s">
        <v>113</v>
      </c>
    </row>
    <row r="39" spans="1:19">
      <c r="A39" s="49"/>
      <c r="B39" s="49"/>
      <c r="C39" s="49"/>
      <c r="D39" s="49"/>
      <c r="E39" s="54"/>
      <c r="F39" s="59"/>
      <c r="G39" s="3" t="s">
        <v>66</v>
      </c>
      <c r="H39" s="7">
        <v>48</v>
      </c>
      <c r="I39" s="7">
        <f t="shared" ref="I39:I43" si="11">J39+K39</f>
        <v>30</v>
      </c>
      <c r="J39" s="7">
        <v>30</v>
      </c>
      <c r="K39" s="7">
        <v>0</v>
      </c>
      <c r="L39" s="8" t="s">
        <v>124</v>
      </c>
      <c r="M39" s="3" t="s">
        <v>23</v>
      </c>
      <c r="N39" s="5">
        <v>0</v>
      </c>
      <c r="O39" s="8" t="s">
        <v>29</v>
      </c>
      <c r="P39" s="8" t="s">
        <v>103</v>
      </c>
      <c r="Q39" s="25" t="s">
        <v>24</v>
      </c>
      <c r="R39" s="3" t="s">
        <v>23</v>
      </c>
      <c r="S39" s="43"/>
    </row>
    <row r="40" spans="1:19" ht="109.5" customHeight="1">
      <c r="A40" s="49"/>
      <c r="B40" s="49"/>
      <c r="C40" s="49"/>
      <c r="D40" s="49"/>
      <c r="E40" s="54"/>
      <c r="F40" s="59"/>
      <c r="G40" s="47" t="s">
        <v>67</v>
      </c>
      <c r="H40" s="55">
        <v>323</v>
      </c>
      <c r="I40" s="52">
        <f t="shared" ref="I40" si="12">J40+K40</f>
        <v>174</v>
      </c>
      <c r="J40" s="52">
        <v>150</v>
      </c>
      <c r="K40" s="52">
        <v>24</v>
      </c>
      <c r="L40" s="50" t="s">
        <v>125</v>
      </c>
      <c r="M40" s="3" t="s">
        <v>85</v>
      </c>
      <c r="N40" s="5">
        <f>300*1.5</f>
        <v>450</v>
      </c>
      <c r="O40" s="8" t="s">
        <v>106</v>
      </c>
      <c r="P40" s="8" t="s">
        <v>125</v>
      </c>
      <c r="Q40" s="18" t="s">
        <v>98</v>
      </c>
      <c r="R40" s="47" t="s">
        <v>68</v>
      </c>
      <c r="S40" s="43"/>
    </row>
    <row r="41" spans="1:19" ht="108" customHeight="1">
      <c r="A41" s="49"/>
      <c r="B41" s="49"/>
      <c r="C41" s="49"/>
      <c r="D41" s="49"/>
      <c r="E41" s="54"/>
      <c r="F41" s="59"/>
      <c r="G41" s="48"/>
      <c r="H41" s="56"/>
      <c r="I41" s="53"/>
      <c r="J41" s="53"/>
      <c r="K41" s="53"/>
      <c r="L41" s="51"/>
      <c r="M41" s="3" t="s">
        <v>84</v>
      </c>
      <c r="N41" s="5">
        <f>300*0.3</f>
        <v>90</v>
      </c>
      <c r="O41" s="8" t="s">
        <v>105</v>
      </c>
      <c r="P41" s="8" t="s">
        <v>125</v>
      </c>
      <c r="Q41" s="18" t="s">
        <v>98</v>
      </c>
      <c r="R41" s="48"/>
      <c r="S41" s="43"/>
    </row>
    <row r="42" spans="1:19" ht="107.25" customHeight="1">
      <c r="A42" s="49"/>
      <c r="B42" s="49"/>
      <c r="C42" s="49"/>
      <c r="D42" s="49"/>
      <c r="E42" s="54"/>
      <c r="F42" s="59"/>
      <c r="G42" s="3" t="s">
        <v>69</v>
      </c>
      <c r="H42" s="7">
        <v>110</v>
      </c>
      <c r="I42" s="7">
        <f t="shared" si="11"/>
        <v>55</v>
      </c>
      <c r="J42" s="7">
        <v>55</v>
      </c>
      <c r="K42" s="7">
        <v>0</v>
      </c>
      <c r="L42" s="8" t="s">
        <v>125</v>
      </c>
      <c r="M42" s="3" t="s">
        <v>23</v>
      </c>
      <c r="N42" s="5">
        <v>0</v>
      </c>
      <c r="O42" s="8" t="s">
        <v>29</v>
      </c>
      <c r="P42" s="8" t="s">
        <v>103</v>
      </c>
      <c r="Q42" s="18" t="s">
        <v>98</v>
      </c>
      <c r="R42" s="3" t="s">
        <v>70</v>
      </c>
      <c r="S42" s="43"/>
    </row>
    <row r="43" spans="1:19" ht="107.25" customHeight="1">
      <c r="A43" s="48"/>
      <c r="B43" s="48"/>
      <c r="C43" s="48"/>
      <c r="D43" s="48"/>
      <c r="E43" s="40"/>
      <c r="F43" s="60"/>
      <c r="G43" s="3" t="s">
        <v>71</v>
      </c>
      <c r="H43" s="7">
        <v>85</v>
      </c>
      <c r="I43" s="7">
        <f t="shared" si="11"/>
        <v>26</v>
      </c>
      <c r="J43" s="7">
        <v>26</v>
      </c>
      <c r="K43" s="7">
        <v>0</v>
      </c>
      <c r="L43" s="8" t="s">
        <v>125</v>
      </c>
      <c r="M43" s="3" t="s">
        <v>23</v>
      </c>
      <c r="N43" s="5">
        <v>0</v>
      </c>
      <c r="O43" s="8" t="s">
        <v>29</v>
      </c>
      <c r="P43" s="8" t="s">
        <v>103</v>
      </c>
      <c r="Q43" s="18" t="s">
        <v>98</v>
      </c>
      <c r="R43" s="3" t="s">
        <v>23</v>
      </c>
      <c r="S43" s="42"/>
    </row>
    <row r="44" spans="1:19" s="14" customFormat="1">
      <c r="A44" s="9"/>
      <c r="B44" s="10" t="str">
        <f>B36</f>
        <v>Итого по объекту</v>
      </c>
      <c r="C44" s="9"/>
      <c r="D44" s="9"/>
      <c r="E44" s="11">
        <f>E38</f>
        <v>20.9</v>
      </c>
      <c r="F44" s="11">
        <f>F38</f>
        <v>15966.499999999998</v>
      </c>
      <c r="G44" s="9"/>
      <c r="H44" s="12">
        <f>SUM(H38:H43)</f>
        <v>651</v>
      </c>
      <c r="I44" s="12">
        <f t="shared" ref="I44:K44" si="13">SUM(I38:I43)</f>
        <v>328</v>
      </c>
      <c r="J44" s="12">
        <f t="shared" si="13"/>
        <v>304</v>
      </c>
      <c r="K44" s="12">
        <f t="shared" si="13"/>
        <v>24</v>
      </c>
      <c r="L44" s="9"/>
      <c r="M44" s="9">
        <v>2</v>
      </c>
      <c r="N44" s="11">
        <f>SUM(N38:N43)</f>
        <v>540</v>
      </c>
      <c r="O44" s="11">
        <f>O38+O39+O40+O41+O42+O43</f>
        <v>3.6</v>
      </c>
      <c r="P44" s="11"/>
      <c r="Q44" s="9">
        <v>5</v>
      </c>
      <c r="R44" s="9">
        <v>9</v>
      </c>
      <c r="S44" s="23"/>
    </row>
    <row r="45" spans="1:19" ht="20.100000000000001" customHeight="1">
      <c r="A45" s="44" t="s">
        <v>115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</row>
    <row r="46" spans="1:19" ht="118.5" customHeight="1">
      <c r="A46" s="47">
        <v>7</v>
      </c>
      <c r="B46" s="47" t="s">
        <v>74</v>
      </c>
      <c r="C46" s="47">
        <v>0.6</v>
      </c>
      <c r="D46" s="47" t="s">
        <v>63</v>
      </c>
      <c r="E46" s="39">
        <f>4.3+3.3+5+5.3</f>
        <v>17.899999999999999</v>
      </c>
      <c r="F46" s="39">
        <f>(0.068+0.6825+2.408+1+0.106+2.174+1.801+1+0.9)*1000</f>
        <v>10139.5</v>
      </c>
      <c r="G46" s="3" t="s">
        <v>75</v>
      </c>
      <c r="H46" s="7">
        <v>161</v>
      </c>
      <c r="I46" s="7">
        <f>J46+K46</f>
        <v>65</v>
      </c>
      <c r="J46" s="7">
        <v>65</v>
      </c>
      <c r="K46" s="7">
        <v>0</v>
      </c>
      <c r="L46" s="8" t="s">
        <v>126</v>
      </c>
      <c r="M46" s="3" t="s">
        <v>23</v>
      </c>
      <c r="N46" s="5">
        <v>0</v>
      </c>
      <c r="O46" s="8" t="s">
        <v>29</v>
      </c>
      <c r="P46" s="8" t="s">
        <v>103</v>
      </c>
      <c r="Q46" s="18" t="s">
        <v>95</v>
      </c>
      <c r="R46" s="3" t="s">
        <v>72</v>
      </c>
      <c r="S46" s="41" t="s">
        <v>116</v>
      </c>
    </row>
    <row r="47" spans="1:19">
      <c r="A47" s="49"/>
      <c r="B47" s="49"/>
      <c r="C47" s="49"/>
      <c r="D47" s="49"/>
      <c r="E47" s="54"/>
      <c r="F47" s="54"/>
      <c r="G47" s="3" t="s">
        <v>73</v>
      </c>
      <c r="H47" s="7">
        <v>39</v>
      </c>
      <c r="I47" s="7">
        <f t="shared" ref="I47:I50" si="14">J47+K47</f>
        <v>0</v>
      </c>
      <c r="J47" s="7">
        <v>0</v>
      </c>
      <c r="K47" s="7">
        <v>0</v>
      </c>
      <c r="L47" s="8" t="s">
        <v>103</v>
      </c>
      <c r="M47" s="3" t="s">
        <v>23</v>
      </c>
      <c r="N47" s="5">
        <v>0</v>
      </c>
      <c r="O47" s="8" t="s">
        <v>29</v>
      </c>
      <c r="P47" s="8" t="s">
        <v>103</v>
      </c>
      <c r="Q47" s="3" t="s">
        <v>24</v>
      </c>
      <c r="R47" s="3" t="s">
        <v>76</v>
      </c>
      <c r="S47" s="43"/>
    </row>
    <row r="48" spans="1:19" ht="93.75" customHeight="1">
      <c r="A48" s="49"/>
      <c r="B48" s="49"/>
      <c r="C48" s="49"/>
      <c r="D48" s="49"/>
      <c r="E48" s="54"/>
      <c r="F48" s="54"/>
      <c r="G48" s="47" t="s">
        <v>77</v>
      </c>
      <c r="H48" s="52">
        <v>267</v>
      </c>
      <c r="I48" s="52">
        <f t="shared" ref="I48" si="15">J48+K48</f>
        <v>207</v>
      </c>
      <c r="J48" s="52">
        <v>143</v>
      </c>
      <c r="K48" s="52">
        <v>64</v>
      </c>
      <c r="L48" s="50" t="s">
        <v>126</v>
      </c>
      <c r="M48" s="47" t="s">
        <v>23</v>
      </c>
      <c r="N48" s="39">
        <v>0</v>
      </c>
      <c r="O48" s="50" t="s">
        <v>29</v>
      </c>
      <c r="P48" s="50" t="s">
        <v>103</v>
      </c>
      <c r="Q48" s="18" t="s">
        <v>96</v>
      </c>
      <c r="R48" s="47" t="s">
        <v>34</v>
      </c>
      <c r="S48" s="43"/>
    </row>
    <row r="49" spans="1:19" ht="43.5" customHeight="1">
      <c r="A49" s="49"/>
      <c r="B49" s="49"/>
      <c r="C49" s="49"/>
      <c r="D49" s="49"/>
      <c r="E49" s="54"/>
      <c r="F49" s="54"/>
      <c r="G49" s="48"/>
      <c r="H49" s="53"/>
      <c r="I49" s="53"/>
      <c r="J49" s="53"/>
      <c r="K49" s="53"/>
      <c r="L49" s="51"/>
      <c r="M49" s="48"/>
      <c r="N49" s="40"/>
      <c r="O49" s="51"/>
      <c r="P49" s="51"/>
      <c r="Q49" s="18" t="s">
        <v>99</v>
      </c>
      <c r="R49" s="48"/>
      <c r="S49" s="43"/>
    </row>
    <row r="50" spans="1:19">
      <c r="A50" s="48"/>
      <c r="B50" s="48"/>
      <c r="C50" s="48"/>
      <c r="D50" s="48"/>
      <c r="E50" s="40"/>
      <c r="F50" s="40"/>
      <c r="G50" s="3" t="s">
        <v>78</v>
      </c>
      <c r="H50" s="7">
        <v>27</v>
      </c>
      <c r="I50" s="7">
        <f t="shared" si="14"/>
        <v>0</v>
      </c>
      <c r="J50" s="7">
        <v>0</v>
      </c>
      <c r="K50" s="7">
        <v>0</v>
      </c>
      <c r="L50" s="8" t="s">
        <v>103</v>
      </c>
      <c r="M50" s="3" t="s">
        <v>23</v>
      </c>
      <c r="N50" s="5">
        <v>0</v>
      </c>
      <c r="O50" s="8" t="s">
        <v>29</v>
      </c>
      <c r="P50" s="8" t="s">
        <v>103</v>
      </c>
      <c r="Q50" s="3" t="s">
        <v>24</v>
      </c>
      <c r="R50" s="3" t="s">
        <v>76</v>
      </c>
      <c r="S50" s="42"/>
    </row>
    <row r="51" spans="1:19" s="14" customFormat="1">
      <c r="A51" s="9"/>
      <c r="B51" s="10" t="str">
        <f>B44</f>
        <v>Итого по объекту</v>
      </c>
      <c r="C51" s="9"/>
      <c r="D51" s="9"/>
      <c r="E51" s="11">
        <f>E46</f>
        <v>17.899999999999999</v>
      </c>
      <c r="F51" s="11">
        <f>F46</f>
        <v>10139.5</v>
      </c>
      <c r="G51" s="9"/>
      <c r="H51" s="12">
        <f>SUM(H46:H50)</f>
        <v>494</v>
      </c>
      <c r="I51" s="12">
        <f t="shared" ref="I51:K51" si="16">SUM(I46:I50)</f>
        <v>272</v>
      </c>
      <c r="J51" s="12">
        <f t="shared" si="16"/>
        <v>208</v>
      </c>
      <c r="K51" s="12">
        <f t="shared" si="16"/>
        <v>64</v>
      </c>
      <c r="L51" s="9"/>
      <c r="M51" s="9">
        <v>0</v>
      </c>
      <c r="N51" s="11">
        <f>N46+N47+N49+N50</f>
        <v>0</v>
      </c>
      <c r="O51" s="11">
        <f>O46+O47+O49+O50</f>
        <v>0</v>
      </c>
      <c r="P51" s="11"/>
      <c r="Q51" s="9">
        <v>3</v>
      </c>
      <c r="R51" s="9">
        <v>10</v>
      </c>
      <c r="S51" s="23"/>
    </row>
    <row r="52" spans="1:19" ht="20.100000000000001" customHeight="1">
      <c r="A52" s="44" t="s">
        <v>117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6"/>
    </row>
    <row r="53" spans="1:19" ht="56.25" customHeight="1">
      <c r="A53" s="47">
        <v>8</v>
      </c>
      <c r="B53" s="47" t="s">
        <v>109</v>
      </c>
      <c r="C53" s="47">
        <v>0.6</v>
      </c>
      <c r="D53" s="47" t="s">
        <v>108</v>
      </c>
      <c r="E53" s="39">
        <f>6.2+3.1</f>
        <v>9.3000000000000007</v>
      </c>
      <c r="F53" s="39">
        <f>(0.0405+0.7455)*1000+189</f>
        <v>975</v>
      </c>
      <c r="G53" s="3" t="s">
        <v>79</v>
      </c>
      <c r="H53" s="7">
        <v>235</v>
      </c>
      <c r="I53" s="7">
        <f>J53+K53</f>
        <v>71</v>
      </c>
      <c r="J53" s="7">
        <v>71</v>
      </c>
      <c r="K53" s="7">
        <v>0</v>
      </c>
      <c r="L53" s="8" t="s">
        <v>127</v>
      </c>
      <c r="M53" s="3" t="s">
        <v>80</v>
      </c>
      <c r="N53" s="5">
        <f>300*0.63</f>
        <v>189</v>
      </c>
      <c r="O53" s="19" t="s">
        <v>83</v>
      </c>
      <c r="P53" s="8" t="s">
        <v>127</v>
      </c>
      <c r="Q53" s="3" t="s">
        <v>24</v>
      </c>
      <c r="R53" s="3" t="s">
        <v>46</v>
      </c>
      <c r="S53" s="41" t="s">
        <v>118</v>
      </c>
    </row>
    <row r="54" spans="1:19" ht="47.25" customHeight="1">
      <c r="A54" s="48"/>
      <c r="B54" s="48"/>
      <c r="C54" s="48"/>
      <c r="D54" s="48"/>
      <c r="E54" s="40"/>
      <c r="F54" s="40"/>
      <c r="G54" s="24" t="s">
        <v>47</v>
      </c>
      <c r="H54" s="7">
        <v>20</v>
      </c>
      <c r="I54" s="7">
        <f>J54+K54</f>
        <v>0</v>
      </c>
      <c r="J54" s="7">
        <v>0</v>
      </c>
      <c r="K54" s="7">
        <v>0</v>
      </c>
      <c r="L54" s="8" t="s">
        <v>127</v>
      </c>
      <c r="M54" s="24" t="s">
        <v>23</v>
      </c>
      <c r="N54" s="5">
        <v>0</v>
      </c>
      <c r="O54" s="8" t="s">
        <v>29</v>
      </c>
      <c r="P54" s="8" t="s">
        <v>103</v>
      </c>
      <c r="Q54" s="24" t="s">
        <v>24</v>
      </c>
      <c r="R54" s="24" t="s">
        <v>23</v>
      </c>
      <c r="S54" s="43"/>
    </row>
    <row r="55" spans="1:19" s="14" customFormat="1">
      <c r="A55" s="9"/>
      <c r="B55" s="10" t="str">
        <f>B51</f>
        <v>Итого по объекту</v>
      </c>
      <c r="C55" s="9"/>
      <c r="D55" s="9"/>
      <c r="E55" s="11">
        <f>E53</f>
        <v>9.3000000000000007</v>
      </c>
      <c r="F55" s="11">
        <f>F53</f>
        <v>975</v>
      </c>
      <c r="G55" s="9"/>
      <c r="H55" s="12">
        <f>H53+H54</f>
        <v>255</v>
      </c>
      <c r="I55" s="12">
        <f t="shared" ref="I55:K55" si="17">I53+I54</f>
        <v>71</v>
      </c>
      <c r="J55" s="12">
        <f t="shared" si="17"/>
        <v>71</v>
      </c>
      <c r="K55" s="12">
        <f t="shared" si="17"/>
        <v>0</v>
      </c>
      <c r="L55" s="9"/>
      <c r="M55" s="9">
        <v>1</v>
      </c>
      <c r="N55" s="11">
        <f>N53+N54</f>
        <v>189</v>
      </c>
      <c r="O55" s="11">
        <f t="shared" ref="O55" si="18">O53+O54</f>
        <v>1.26</v>
      </c>
      <c r="P55" s="11"/>
      <c r="Q55" s="9">
        <v>0</v>
      </c>
      <c r="R55" s="9">
        <v>5</v>
      </c>
      <c r="S55" s="43"/>
    </row>
    <row r="56" spans="1:19" ht="40.5" customHeight="1">
      <c r="A56" s="3">
        <v>9</v>
      </c>
      <c r="B56" s="4" t="s">
        <v>81</v>
      </c>
      <c r="C56" s="3">
        <v>0.6</v>
      </c>
      <c r="D56" s="3">
        <v>200</v>
      </c>
      <c r="E56" s="5">
        <v>2.7</v>
      </c>
      <c r="F56" s="5">
        <f>(0.0149+0.4725)*1000</f>
        <v>487.4</v>
      </c>
      <c r="G56" s="3" t="s">
        <v>82</v>
      </c>
      <c r="H56" s="7">
        <v>56</v>
      </c>
      <c r="I56" s="7">
        <f>J56+K56</f>
        <v>45</v>
      </c>
      <c r="J56" s="7">
        <v>45</v>
      </c>
      <c r="K56" s="7">
        <v>0</v>
      </c>
      <c r="L56" s="8" t="s">
        <v>127</v>
      </c>
      <c r="M56" s="3" t="s">
        <v>23</v>
      </c>
      <c r="N56" s="5">
        <v>0</v>
      </c>
      <c r="O56" s="8" t="s">
        <v>29</v>
      </c>
      <c r="P56" s="8" t="s">
        <v>103</v>
      </c>
      <c r="Q56" s="3" t="s">
        <v>24</v>
      </c>
      <c r="R56" s="3" t="s">
        <v>23</v>
      </c>
      <c r="S56" s="42"/>
    </row>
    <row r="57" spans="1:19" s="14" customFormat="1">
      <c r="A57" s="9"/>
      <c r="B57" s="10" t="str">
        <f>B55</f>
        <v>Итого по объекту</v>
      </c>
      <c r="C57" s="9"/>
      <c r="D57" s="9"/>
      <c r="E57" s="11">
        <f>E56</f>
        <v>2.7</v>
      </c>
      <c r="F57" s="11">
        <f>F56</f>
        <v>487.4</v>
      </c>
      <c r="G57" s="9"/>
      <c r="H57" s="12">
        <f>H56</f>
        <v>56</v>
      </c>
      <c r="I57" s="12">
        <f t="shared" ref="I57:K57" si="19">I56</f>
        <v>45</v>
      </c>
      <c r="J57" s="12">
        <f t="shared" si="19"/>
        <v>45</v>
      </c>
      <c r="K57" s="12">
        <f t="shared" si="19"/>
        <v>0</v>
      </c>
      <c r="L57" s="9"/>
      <c r="M57" s="9">
        <v>0</v>
      </c>
      <c r="N57" s="11">
        <f>N56</f>
        <v>0</v>
      </c>
      <c r="O57" s="11" t="str">
        <f t="shared" ref="O57" si="20">O56</f>
        <v>0</v>
      </c>
      <c r="P57" s="11"/>
      <c r="Q57" s="9">
        <v>0</v>
      </c>
      <c r="R57" s="9">
        <v>0</v>
      </c>
      <c r="S57" s="23"/>
    </row>
    <row r="58" spans="1:19" s="14" customFormat="1">
      <c r="A58" s="9"/>
      <c r="B58" s="10" t="s">
        <v>86</v>
      </c>
      <c r="C58" s="9"/>
      <c r="D58" s="9"/>
      <c r="E58" s="11">
        <f>E9+E16+E23+E27+E36+E44+E51+E55+E57</f>
        <v>130.20000000000002</v>
      </c>
      <c r="F58" s="11">
        <f>F9+F16+F23+F27+F36+F44+F51+F55+F57</f>
        <v>58314.12</v>
      </c>
      <c r="G58" s="11"/>
      <c r="H58" s="15">
        <f>H9+H16+H23+H27+H36+H44+H51+H55+H57</f>
        <v>3662</v>
      </c>
      <c r="I58" s="15">
        <f>I9+I16+I23+I27+I36+I44+I51+I55+I57</f>
        <v>2177.6</v>
      </c>
      <c r="J58" s="15">
        <f>J9+J16+J23+J27+J36+J44+J51+J55+J57</f>
        <v>1911.6</v>
      </c>
      <c r="K58" s="15">
        <f>K9+K16+K23+K27+K36+K44+K51+K55+K57</f>
        <v>266</v>
      </c>
      <c r="L58" s="11"/>
      <c r="M58" s="15">
        <f>M9+M16+M23+M27+M36+M44+M51+M55+M57</f>
        <v>8</v>
      </c>
      <c r="N58" s="11">
        <f>N9+N16+N23+N27+N36+N44+N51+N55+N57</f>
        <v>2832</v>
      </c>
      <c r="O58" s="11">
        <f>O9+O16+O23+O27+O36+O44+O51+O55+O57</f>
        <v>13.42</v>
      </c>
      <c r="P58" s="11"/>
      <c r="Q58" s="15">
        <f>Q9+Q16+Q23+Q27+Q36+Q44+Q51+Q55+Q57</f>
        <v>16</v>
      </c>
      <c r="R58" s="15">
        <f>R9+R16+R23+R27+R36+R44+R51+R55+R57</f>
        <v>55</v>
      </c>
      <c r="S58" s="23"/>
    </row>
    <row r="59" spans="1:1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</sheetData>
  <mergeCells count="114">
    <mergeCell ref="D46:D50"/>
    <mergeCell ref="D25:D26"/>
    <mergeCell ref="C25:C26"/>
    <mergeCell ref="A7:S7"/>
    <mergeCell ref="B10:B15"/>
    <mergeCell ref="A10:A15"/>
    <mergeCell ref="C10:C15"/>
    <mergeCell ref="E10:E15"/>
    <mergeCell ref="G48:G49"/>
    <mergeCell ref="H48:H49"/>
    <mergeCell ref="I48:I49"/>
    <mergeCell ref="J48:J49"/>
    <mergeCell ref="N13:N14"/>
    <mergeCell ref="G40:G41"/>
    <mergeCell ref="O13:O14"/>
    <mergeCell ref="P13:P14"/>
    <mergeCell ref="A46:A50"/>
    <mergeCell ref="F38:F43"/>
    <mergeCell ref="E38:E43"/>
    <mergeCell ref="D38:D43"/>
    <mergeCell ref="C38:C43"/>
    <mergeCell ref="B38:B43"/>
    <mergeCell ref="A38:A43"/>
    <mergeCell ref="F46:F50"/>
    <mergeCell ref="E46:E50"/>
    <mergeCell ref="F10:F15"/>
    <mergeCell ref="S10:S15"/>
    <mergeCell ref="R13:R14"/>
    <mergeCell ref="R34:R35"/>
    <mergeCell ref="A2:S2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G13:G14"/>
    <mergeCell ref="H13:H14"/>
    <mergeCell ref="I13:I14"/>
    <mergeCell ref="J13:J14"/>
    <mergeCell ref="K13:K14"/>
    <mergeCell ref="L13:L14"/>
    <mergeCell ref="M13:M14"/>
    <mergeCell ref="D10:D15"/>
    <mergeCell ref="B25:B26"/>
    <mergeCell ref="A1:S1"/>
    <mergeCell ref="L4:L5"/>
    <mergeCell ref="M4:P4"/>
    <mergeCell ref="E3:E5"/>
    <mergeCell ref="F3:F5"/>
    <mergeCell ref="G3:G5"/>
    <mergeCell ref="H4:H5"/>
    <mergeCell ref="I4:K4"/>
    <mergeCell ref="H3:L3"/>
    <mergeCell ref="S3:S5"/>
    <mergeCell ref="M3:P3"/>
    <mergeCell ref="Q3:Q5"/>
    <mergeCell ref="R3:R5"/>
    <mergeCell ref="A3:A5"/>
    <mergeCell ref="B3:B5"/>
    <mergeCell ref="C3:C5"/>
    <mergeCell ref="D3:D5"/>
    <mergeCell ref="N48:N49"/>
    <mergeCell ref="O48:O49"/>
    <mergeCell ref="P48:P49"/>
    <mergeCell ref="F29:F35"/>
    <mergeCell ref="H40:H41"/>
    <mergeCell ref="A17:S17"/>
    <mergeCell ref="A24:S24"/>
    <mergeCell ref="S18:S22"/>
    <mergeCell ref="A18:A22"/>
    <mergeCell ref="B18:B22"/>
    <mergeCell ref="E18:E22"/>
    <mergeCell ref="F18:F22"/>
    <mergeCell ref="C18:C22"/>
    <mergeCell ref="D18:D22"/>
    <mergeCell ref="E25:E26"/>
    <mergeCell ref="F25:F26"/>
    <mergeCell ref="A29:A35"/>
    <mergeCell ref="B29:B35"/>
    <mergeCell ref="R48:R49"/>
    <mergeCell ref="D29:D35"/>
    <mergeCell ref="E29:E35"/>
    <mergeCell ref="C46:C50"/>
    <mergeCell ref="B46:B50"/>
    <mergeCell ref="C29:C35"/>
    <mergeCell ref="F53:F54"/>
    <mergeCell ref="S25:S26"/>
    <mergeCell ref="S29:S35"/>
    <mergeCell ref="S38:S43"/>
    <mergeCell ref="S46:S50"/>
    <mergeCell ref="S53:S56"/>
    <mergeCell ref="A52:S52"/>
    <mergeCell ref="A53:A54"/>
    <mergeCell ref="B53:B54"/>
    <mergeCell ref="C53:C54"/>
    <mergeCell ref="D53:D54"/>
    <mergeCell ref="E53:E54"/>
    <mergeCell ref="A25:A26"/>
    <mergeCell ref="R40:R41"/>
    <mergeCell ref="L40:L41"/>
    <mergeCell ref="I40:I41"/>
    <mergeCell ref="A28:S28"/>
    <mergeCell ref="A37:S37"/>
    <mergeCell ref="A45:S45"/>
    <mergeCell ref="J40:J41"/>
    <mergeCell ref="K40:K41"/>
    <mergeCell ref="K48:K49"/>
    <mergeCell ref="L48:L49"/>
    <mergeCell ref="M48:M49"/>
  </mergeCells>
  <pageMargins left="0.39370078740157483" right="0.19685039370078741" top="0.39370078740157483" bottom="0.3937007874015748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 уточ в 2013 году</vt:lpstr>
      <vt:lpstr>1</vt:lpstr>
      <vt:lpstr>'1'!Заголовки_для_печати</vt:lpstr>
      <vt:lpstr>'2 уточ в 2013 году'!Заголовки_для_печати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2013-10-18T11:26:26Z</dcterms:modified>
</cp:coreProperties>
</file>